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https://toerismevlaanderen-my.sharepoint.com/personal/bruno_paternoster_visitflanders_com/Documents/KwaliteitKampeersector/Kampeerautotoerisme/Inspiratiebrochure_Camperterreinen/Brochure/"/>
    </mc:Choice>
  </mc:AlternateContent>
  <xr:revisionPtr revIDLastSave="0" documentId="8_{D819E1DC-FEE4-4322-B476-4D94FD60853B}" xr6:coauthVersionLast="44" xr6:coauthVersionMax="44" xr10:uidLastSave="{00000000-0000-0000-0000-000000000000}"/>
  <workbookProtection workbookAlgorithmName="SHA-512" workbookHashValue="enfBy9HybJKXk8uhab0rodV1qZ833dnb9wBkDSlxhVR/MkoyzoNcwJEvVkovu1kAUIAiqb0CPyfmB0JllWEtJw==" workbookSaltValue="2Jq04RgIiEmucemQzWmKeQ==" workbookSpinCount="100000" lockStructure="1"/>
  <bookViews>
    <workbookView xWindow="-108" yWindow="-108" windowWidth="23256" windowHeight="12576" xr2:uid="{00000000-000D-0000-FFFF-FFFF00000000}"/>
  </bookViews>
  <sheets>
    <sheet name="Intro" sheetId="6" r:id="rId1"/>
    <sheet name="Businesstool" sheetId="1" r:id="rId2"/>
    <sheet name="Toelichting" sheetId="5" r:id="rId3"/>
    <sheet name="Input" sheetId="3" state="hidden" r:id="rId4"/>
    <sheet name="Investeringen" sheetId="4" state="hidden" r:id="rId5"/>
  </sheets>
  <definedNames>
    <definedName name="Aantal_overnachtingen">Input!$B$19</definedName>
    <definedName name="Aantalplaatsen">Businesstool!$B$6</definedName>
    <definedName name="OLE_LINK1" localSheetId="2">Toelichting!$B$19</definedName>
    <definedName name="OLE_LINK3" localSheetId="2">Toelichting!$B$26</definedName>
    <definedName name="Soort_plaatsen">Input!$B$2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1" i="4" l="1"/>
  <c r="D7" i="4" l="1"/>
  <c r="F40" i="4" l="1"/>
  <c r="I40" i="4" s="1"/>
  <c r="D6" i="4"/>
  <c r="B48" i="3" l="1"/>
  <c r="B6" i="4" l="1"/>
  <c r="C6" i="4"/>
  <c r="F45" i="4"/>
  <c r="C7" i="4" l="1"/>
  <c r="B7" i="4"/>
  <c r="B33" i="3"/>
  <c r="C57" i="3" l="1"/>
  <c r="G41" i="4" l="1"/>
  <c r="G47" i="4"/>
  <c r="G46" i="4"/>
  <c r="G19" i="4"/>
  <c r="K41" i="4" l="1"/>
  <c r="L18" i="1"/>
  <c r="A65" i="4"/>
  <c r="I45" i="4"/>
  <c r="I65" i="4" s="1"/>
  <c r="K65" i="4" s="1"/>
  <c r="D57" i="3"/>
  <c r="C24" i="3"/>
  <c r="K18" i="1" l="1"/>
  <c r="B31" i="3"/>
  <c r="B65" i="3" l="1"/>
  <c r="B66" i="3" l="1"/>
  <c r="B67" i="3"/>
  <c r="B47" i="3"/>
  <c r="B32" i="3"/>
  <c r="B46" i="3"/>
  <c r="I46" i="4"/>
  <c r="I47" i="4"/>
  <c r="K46" i="4"/>
  <c r="K47" i="4"/>
  <c r="L14" i="1"/>
  <c r="L13" i="1"/>
  <c r="C30" i="4"/>
  <c r="D30" i="4"/>
  <c r="G30" i="4" s="1"/>
  <c r="B30" i="4"/>
  <c r="K19" i="1" l="1"/>
  <c r="I66" i="4"/>
  <c r="K66" i="4" s="1"/>
  <c r="F43" i="4" l="1"/>
  <c r="I43" i="4" s="1"/>
  <c r="F42" i="4"/>
  <c r="K42" i="4" s="1"/>
  <c r="H42" i="4"/>
  <c r="C39" i="4"/>
  <c r="D39" i="4"/>
  <c r="B39" i="4"/>
  <c r="K43" i="4" l="1"/>
  <c r="I42" i="4"/>
  <c r="K39" i="4"/>
  <c r="I39" i="4"/>
  <c r="L17" i="1" l="1"/>
  <c r="L16" i="1"/>
  <c r="L15" i="1"/>
  <c r="B44" i="3" l="1"/>
  <c r="B45" i="3"/>
  <c r="B19" i="3"/>
  <c r="H24" i="3"/>
  <c r="I24" i="3" s="1"/>
  <c r="B64" i="3"/>
  <c r="I68" i="4"/>
  <c r="K68" i="4" s="1"/>
  <c r="A61" i="4"/>
  <c r="A62" i="4"/>
  <c r="A63" i="4"/>
  <c r="A64" i="4"/>
  <c r="A67" i="4"/>
  <c r="A60" i="4"/>
  <c r="A59" i="4"/>
  <c r="A58" i="4"/>
  <c r="A57" i="4"/>
  <c r="A56" i="4"/>
  <c r="A55" i="4"/>
  <c r="A54" i="4"/>
  <c r="S9" i="1"/>
  <c r="G44" i="4"/>
  <c r="B63" i="3" l="1"/>
  <c r="B68" i="3" s="1"/>
  <c r="S12" i="1" s="1"/>
  <c r="T9" i="1"/>
  <c r="B73" i="3"/>
  <c r="B49" i="3"/>
  <c r="B30" i="3"/>
  <c r="B34" i="3" s="1"/>
  <c r="U9" i="1"/>
  <c r="L10" i="1"/>
  <c r="K44" i="4"/>
  <c r="I44" i="4"/>
  <c r="I67" i="4"/>
  <c r="K67" i="4" s="1"/>
  <c r="K40" i="4"/>
  <c r="L9" i="1"/>
  <c r="L8" i="1"/>
  <c r="L7" i="1"/>
  <c r="L6" i="1"/>
  <c r="L5" i="1"/>
  <c r="G3" i="4"/>
  <c r="G2" i="4"/>
  <c r="F3" i="4"/>
  <c r="F8" i="4"/>
  <c r="F16" i="4"/>
  <c r="F19" i="4"/>
  <c r="F25" i="4"/>
  <c r="F30" i="4"/>
  <c r="I30" i="4" s="1"/>
  <c r="F35" i="4"/>
  <c r="F2" i="4"/>
  <c r="C35" i="4"/>
  <c r="D35" i="4"/>
  <c r="B35" i="4"/>
  <c r="C25" i="4"/>
  <c r="G25" i="4" s="1"/>
  <c r="D25" i="4"/>
  <c r="B25" i="4"/>
  <c r="C16" i="4"/>
  <c r="D16" i="4"/>
  <c r="B16" i="4"/>
  <c r="C8" i="4"/>
  <c r="D8" i="4"/>
  <c r="B8" i="4"/>
  <c r="G16" i="4" l="1"/>
  <c r="I16" i="4" s="1"/>
  <c r="G35" i="4"/>
  <c r="I35" i="4" s="1"/>
  <c r="G8" i="4"/>
  <c r="I8" i="4" s="1"/>
  <c r="I10" i="4" s="1"/>
  <c r="I25" i="4"/>
  <c r="I19" i="4"/>
  <c r="I49" i="4"/>
  <c r="S11" i="1"/>
  <c r="U12" i="1"/>
  <c r="C75" i="3"/>
  <c r="T12" i="1"/>
  <c r="K17" i="1"/>
  <c r="I64" i="4"/>
  <c r="K14" i="1"/>
  <c r="I61" i="4"/>
  <c r="K61" i="4" s="1"/>
  <c r="L2" i="4"/>
  <c r="L51" i="4" s="1"/>
  <c r="I63" i="4"/>
  <c r="K63" i="4" s="1"/>
  <c r="K15" i="1"/>
  <c r="I62" i="4"/>
  <c r="K62" i="4" s="1"/>
  <c r="K20" i="1"/>
  <c r="K3" i="4"/>
  <c r="K37" i="4" s="1"/>
  <c r="C2" i="3"/>
  <c r="I37" i="4" l="1"/>
  <c r="I51" i="4" s="1"/>
  <c r="K5" i="1"/>
  <c r="I54" i="4"/>
  <c r="K54" i="4" s="1"/>
  <c r="K64" i="4"/>
  <c r="U11" i="1"/>
  <c r="C74" i="3"/>
  <c r="K16" i="1"/>
  <c r="K10" i="1"/>
  <c r="I59" i="4"/>
  <c r="K59" i="4" s="1"/>
  <c r="K49" i="4"/>
  <c r="K51" i="4" s="1"/>
  <c r="K9" i="1"/>
  <c r="I58" i="4"/>
  <c r="K58" i="4" s="1"/>
  <c r="K8" i="1"/>
  <c r="I57" i="4"/>
  <c r="K57" i="4" s="1"/>
  <c r="K7" i="1"/>
  <c r="I56" i="4"/>
  <c r="K56" i="4" s="1"/>
  <c r="K6" i="1"/>
  <c r="I55" i="4"/>
  <c r="K55" i="4" s="1"/>
  <c r="K13" i="1"/>
  <c r="I60" i="4"/>
  <c r="K60" i="4" s="1"/>
  <c r="I70" i="4" l="1"/>
  <c r="K70" i="4"/>
  <c r="K11" i="1"/>
  <c r="M51" i="4"/>
  <c r="T30" i="1"/>
  <c r="K22" i="1"/>
  <c r="T11" i="1"/>
  <c r="S13" i="1"/>
  <c r="U13" i="1" s="1"/>
  <c r="K23" i="1" l="1"/>
  <c r="I71" i="4"/>
  <c r="S15" i="1"/>
  <c r="T13" i="1"/>
  <c r="I72" i="4" l="1"/>
  <c r="K72" i="4" s="1"/>
  <c r="K74" i="4" s="1"/>
  <c r="S18" i="1" s="1"/>
  <c r="T15" i="1"/>
  <c r="U15" i="1"/>
  <c r="K25" i="1" l="1"/>
  <c r="K29" i="1" s="1"/>
  <c r="S19" i="1" s="1"/>
  <c r="U19" i="1" s="1"/>
  <c r="C76" i="3"/>
  <c r="T18" i="1"/>
  <c r="U18" i="1"/>
  <c r="T19" i="1" l="1"/>
  <c r="C77" i="3"/>
  <c r="S20" i="1"/>
  <c r="U20" i="1" s="1"/>
  <c r="T20" i="1" l="1"/>
  <c r="S22" i="1"/>
  <c r="T26" i="1" l="1"/>
  <c r="T27" i="1"/>
  <c r="S24" i="1"/>
  <c r="T28" i="1" s="1"/>
  <c r="A79" i="3"/>
  <c r="A78" i="3"/>
  <c r="C79" i="3"/>
  <c r="B78" i="3"/>
  <c r="T22" i="1"/>
  <c r="U22" i="1"/>
  <c r="U24" i="1" l="1"/>
  <c r="T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René Beukers</author>
    <author>Rene</author>
  </authors>
  <commentList>
    <comment ref="B6" authorId="0" shapeId="0" xr:uid="{00000000-0006-0000-0100-000001000000}">
      <text>
        <r>
          <rPr>
            <sz val="9"/>
            <color indexed="81"/>
            <rFont val="Tahoma"/>
            <family val="2"/>
          </rPr>
          <t xml:space="preserve">Aantal te realiseren kampeerautoplaatsen.
(minimum is 5 plaatsen)
</t>
        </r>
      </text>
    </comment>
    <comment ref="B11" authorId="1" shapeId="0" xr:uid="{00000000-0006-0000-0100-000002000000}">
      <text>
        <r>
          <rPr>
            <sz val="9"/>
            <color indexed="81"/>
            <rFont val="Tahoma"/>
            <family val="2"/>
          </rPr>
          <t>Prijs per nacht</t>
        </r>
        <r>
          <rPr>
            <b/>
            <sz val="9"/>
            <color indexed="81"/>
            <rFont val="Tahoma"/>
            <family val="2"/>
          </rPr>
          <t xml:space="preserve"> inclusief </t>
        </r>
        <r>
          <rPr>
            <sz val="9"/>
            <color indexed="81"/>
            <rFont val="Tahoma"/>
            <family val="2"/>
          </rPr>
          <t xml:space="preserve">BTW en </t>
        </r>
        <r>
          <rPr>
            <b/>
            <sz val="9"/>
            <color indexed="81"/>
            <rFont val="Tahoma"/>
            <family val="2"/>
          </rPr>
          <t>exclusief</t>
        </r>
        <r>
          <rPr>
            <sz val="9"/>
            <color indexed="81"/>
            <rFont val="Tahoma"/>
            <family val="2"/>
          </rPr>
          <t xml:space="preserve"> toeristenbelasting. In dit bedrag moeten ook de kosten van elektriciteit, water en eventuele andere voorzieningen worden meegenomen.</t>
        </r>
      </text>
    </comment>
    <comment ref="B16" authorId="1" shapeId="0" xr:uid="{00000000-0006-0000-0100-000003000000}">
      <text>
        <r>
          <rPr>
            <sz val="9"/>
            <color indexed="81"/>
            <rFont val="Tahoma"/>
            <family val="2"/>
          </rPr>
          <t xml:space="preserve">Bezetting aangeven in nachten per plaats. Een minimale bezetting ligt rond de 60 nachten een maximale bezetting rond de 175 nachten
</t>
        </r>
      </text>
    </comment>
    <comment ref="K21" authorId="1" shapeId="0" xr:uid="{00000000-0006-0000-0100-000004000000}">
      <text>
        <r>
          <rPr>
            <sz val="9"/>
            <color indexed="81"/>
            <rFont val="Tahoma"/>
            <family val="2"/>
          </rPr>
          <t>Hierin kunt een investeringsbedrag invullen van een aanvullende investering die nodig is om de kampeerautoplaatsen te realiseren. Hierbij kan worden gedacht aan kosten van herstructurering of extra voorzieningen.</t>
        </r>
      </text>
    </comment>
    <comment ref="K24" authorId="1" shapeId="0" xr:uid="{00000000-0006-0000-0100-000005000000}">
      <text>
        <r>
          <rPr>
            <sz val="9"/>
            <color indexed="81"/>
            <rFont val="Tahoma"/>
            <family val="2"/>
          </rPr>
          <t>Hierin kunt u het subsidiebedrag invullen dat u op de investeringen verwacht te ontvangen.</t>
        </r>
      </text>
    </comment>
    <comment ref="K28" authorId="1" shapeId="0" xr:uid="{00000000-0006-0000-0100-000006000000}">
      <text>
        <r>
          <rPr>
            <sz val="9"/>
            <color indexed="81"/>
            <rFont val="Tahoma"/>
            <family val="2"/>
          </rPr>
          <t xml:space="preserve">Hier kunt u invullen de financiele middelen waarover u zelf beschikt en die u wilt gebruiken om de kampeerautoplaatsen te financieren.
</t>
        </r>
      </text>
    </comment>
    <comment ref="K30" authorId="1" shapeId="0" xr:uid="{00000000-0006-0000-0100-000007000000}">
      <text>
        <r>
          <rPr>
            <sz val="9"/>
            <color indexed="81"/>
            <rFont val="Tahoma"/>
            <family val="2"/>
          </rPr>
          <t xml:space="preserve">Het rentepercentage dat naar verwachting moet worden betaald aan de externe financier.
</t>
        </r>
      </text>
    </comment>
  </commentList>
</comments>
</file>

<file path=xl/sharedStrings.xml><?xml version="1.0" encoding="utf-8"?>
<sst xmlns="http://schemas.openxmlformats.org/spreadsheetml/2006/main" count="368" uniqueCount="253">
  <si>
    <t>Plaatsen</t>
  </si>
  <si>
    <t>Soort plaatsen</t>
  </si>
  <si>
    <t>Budgetplaatsen</t>
  </si>
  <si>
    <t>Comfortplaatsen</t>
  </si>
  <si>
    <t>Opties</t>
  </si>
  <si>
    <t>Prijsstelling</t>
  </si>
  <si>
    <t xml:space="preserve">Per nacht </t>
  </si>
  <si>
    <t>Sanitaire voorzieningen</t>
  </si>
  <si>
    <t>Slagboom</t>
  </si>
  <si>
    <t>Boekingsautomaat</t>
  </si>
  <si>
    <t>Aanvullende investering</t>
  </si>
  <si>
    <t>Elektra aansluiting</t>
  </si>
  <si>
    <t>Halfverharding</t>
  </si>
  <si>
    <t>Openbare wegen en paden</t>
  </si>
  <si>
    <t>Gras</t>
  </si>
  <si>
    <t>Verlichting</t>
  </si>
  <si>
    <t>1 per 10 plaatsen</t>
  </si>
  <si>
    <t>Klinkerverharding</t>
  </si>
  <si>
    <t>1 per 5 plaatsen</t>
  </si>
  <si>
    <t>Netto oppervlak</t>
  </si>
  <si>
    <t>Bruto oppervlak</t>
  </si>
  <si>
    <t>Asfalt verharding</t>
  </si>
  <si>
    <t>Totaal plaatsverharding</t>
  </si>
  <si>
    <t>Totaal openbare wegen en paden</t>
  </si>
  <si>
    <t>Totaal verlichting</t>
  </si>
  <si>
    <t>Aantal</t>
  </si>
  <si>
    <t>Investeringen</t>
  </si>
  <si>
    <t>Aanleg elektra</t>
  </si>
  <si>
    <t>Verharding op de standplaats</t>
  </si>
  <si>
    <t>Investering</t>
  </si>
  <si>
    <t>Totale investering</t>
  </si>
  <si>
    <t>Bruto</t>
  </si>
  <si>
    <t>Boekingsautomaat met huisje</t>
  </si>
  <si>
    <t>Slagboom incl. straatwerk</t>
  </si>
  <si>
    <t>Vast</t>
  </si>
  <si>
    <t>Variabel</t>
  </si>
  <si>
    <t>BTW percentage</t>
  </si>
  <si>
    <t>Omzet</t>
  </si>
  <si>
    <t>Afschrijvingen</t>
  </si>
  <si>
    <t>Rente</t>
  </si>
  <si>
    <t>Selectiekolom</t>
  </si>
  <si>
    <t>Totaal</t>
  </si>
  <si>
    <t>Grondbeslag Bruto</t>
  </si>
  <si>
    <t>Netto plaatsen</t>
  </si>
  <si>
    <t>Afschrijvingstermijn</t>
  </si>
  <si>
    <t>Afschrijving</t>
  </si>
  <si>
    <t>Financiering</t>
  </si>
  <si>
    <t>Uit eigen middelen</t>
  </si>
  <si>
    <t>Met vreemd vermogen</t>
  </si>
  <si>
    <t>Rentepercentage vreemd vermogen</t>
  </si>
  <si>
    <t>Personeelskosten</t>
  </si>
  <si>
    <t>Onderhoud en beheer</t>
  </si>
  <si>
    <t>Operationele kosten</t>
  </si>
  <si>
    <t>Kosten kapitaal</t>
  </si>
  <si>
    <t>Operationeel resultaat</t>
  </si>
  <si>
    <t>Bedrijfsresultaat</t>
  </si>
  <si>
    <t>Cashflow</t>
  </si>
  <si>
    <t>Normaal</t>
  </si>
  <si>
    <t>Met sanitair</t>
  </si>
  <si>
    <t>personeelskosten</t>
  </si>
  <si>
    <t>Sanitair</t>
  </si>
  <si>
    <t>Budgetplaats</t>
  </si>
  <si>
    <t>Basisplaats</t>
  </si>
  <si>
    <t>Comfortplaats</t>
  </si>
  <si>
    <t>Totale personeelskosten</t>
  </si>
  <si>
    <t>Berekening personeelskosten</t>
  </si>
  <si>
    <t>Per plaats</t>
  </si>
  <si>
    <t>Berekening beheer en onderhoudkosten</t>
  </si>
  <si>
    <t>Kosten beheer en onderhoud</t>
  </si>
  <si>
    <t xml:space="preserve">% van de </t>
  </si>
  <si>
    <t xml:space="preserve">Bedrag per </t>
  </si>
  <si>
    <t>Eenheid</t>
  </si>
  <si>
    <t>per nacht</t>
  </si>
  <si>
    <t>Berekening nachten</t>
  </si>
  <si>
    <t>Vaste kosten</t>
  </si>
  <si>
    <t>Variabele kosten per nacht</t>
  </si>
  <si>
    <t>Bezetting per plaats</t>
  </si>
  <si>
    <t>Rendement totaal vermogen</t>
  </si>
  <si>
    <t>Rendement eigen vermogen</t>
  </si>
  <si>
    <t>Terugverdientijd</t>
  </si>
  <si>
    <t>jaar</t>
  </si>
  <si>
    <t>Rente (gemiddeld)</t>
  </si>
  <si>
    <t>Kosten</t>
  </si>
  <si>
    <t>Kosten onderhoud en beheer</t>
  </si>
  <si>
    <t xml:space="preserve"> </t>
  </si>
  <si>
    <t>m2</t>
  </si>
  <si>
    <t>Input grafiek bedrijfsresultaat</t>
  </si>
  <si>
    <r>
      <t>·</t>
    </r>
    <r>
      <rPr>
        <sz val="7"/>
        <color theme="1"/>
        <rFont val="Times New Roman"/>
        <family val="1"/>
      </rPr>
      <t xml:space="preserve">         </t>
    </r>
    <r>
      <rPr>
        <sz val="11"/>
        <color theme="1"/>
        <rFont val="Calibri"/>
        <family val="2"/>
        <scheme val="minor"/>
      </rPr>
      <t>Halfverharding op de standplaats</t>
    </r>
  </si>
  <si>
    <r>
      <t>·</t>
    </r>
    <r>
      <rPr>
        <sz val="7"/>
        <color theme="1"/>
        <rFont val="Times New Roman"/>
        <family val="1"/>
      </rPr>
      <t xml:space="preserve">         </t>
    </r>
    <r>
      <rPr>
        <sz val="11"/>
        <color theme="1"/>
        <rFont val="Calibri"/>
        <family val="2"/>
        <scheme val="minor"/>
      </rPr>
      <t>Halfverharding van de wegen en paden op het park</t>
    </r>
  </si>
  <si>
    <r>
      <t>·</t>
    </r>
    <r>
      <rPr>
        <sz val="7"/>
        <color theme="1"/>
        <rFont val="Times New Roman"/>
        <family val="1"/>
      </rPr>
      <t xml:space="preserve">         </t>
    </r>
    <r>
      <rPr>
        <sz val="11"/>
        <color theme="1"/>
        <rFont val="Calibri"/>
        <family val="2"/>
        <scheme val="minor"/>
      </rPr>
      <t>Klinkerverharding  van de wegen en paden op het park</t>
    </r>
  </si>
  <si>
    <r>
      <t>·</t>
    </r>
    <r>
      <rPr>
        <sz val="7"/>
        <color theme="1"/>
        <rFont val="Times New Roman"/>
        <family val="1"/>
      </rPr>
      <t xml:space="preserve">         </t>
    </r>
    <r>
      <rPr>
        <sz val="11"/>
        <color theme="1"/>
        <rFont val="Calibri"/>
        <family val="2"/>
        <scheme val="minor"/>
      </rPr>
      <t>Een oppervlak van 80m2</t>
    </r>
  </si>
  <si>
    <t>Deze bezetting is in belangrijke mate afhankelijk van de locatie, de voorzieningen en de prijsstelling.</t>
  </si>
  <si>
    <t>Indicatie benodigd oppervlak</t>
  </si>
  <si>
    <t>Speelvoorzieningen voor kinderen. De grootte is afhankelijk van de grootte</t>
  </si>
  <si>
    <t>Boekingautomaat</t>
  </si>
  <si>
    <t>Van der Reest Advies</t>
  </si>
  <si>
    <t>Anklaarseweg 15</t>
  </si>
  <si>
    <t>7316 MA Apeldoorn</t>
  </si>
  <si>
    <t xml:space="preserve">E-mail: </t>
  </si>
  <si>
    <t>Info@vanderreestadvies.nl</t>
  </si>
  <si>
    <t>Tel.:            0031 555 38 24 60</t>
  </si>
  <si>
    <t>Financiering uit eigen middelen</t>
  </si>
  <si>
    <t>is, wordt hier de mogelijkheid gegeven om de beschikbare middelen zelf in te voeren.</t>
  </si>
  <si>
    <t>Rentepercentage</t>
  </si>
  <si>
    <t>Indien investeringen deels worden gefinancierd met vreemd vermogen, zal de geldverstrekker hiervoor een vergoeding vragen</t>
  </si>
  <si>
    <t>in de vorm van rente. Het rentepercentage kan hier worden ingevuld.</t>
  </si>
  <si>
    <t>Rendement op eigen vermogen</t>
  </si>
  <si>
    <t>Website:</t>
  </si>
  <si>
    <t>www.vanderreestadvies.nl</t>
  </si>
  <si>
    <t>www.facet-aa.nl</t>
  </si>
  <si>
    <t>Subtotaal plaatsen</t>
  </si>
  <si>
    <t>Subtotaal voorzieningen</t>
  </si>
  <si>
    <t>Subsidiebedrag</t>
  </si>
  <si>
    <t>Te onvangen subsidie</t>
  </si>
  <si>
    <t>Gemiddelde afschrijvingstermijn</t>
  </si>
  <si>
    <t>Gecorrigeerde afschrijvingen</t>
  </si>
  <si>
    <t xml:space="preserve">Bedragen </t>
  </si>
  <si>
    <t>Wordt niet gebruikt</t>
  </si>
  <si>
    <t>Totaal plaatsen</t>
  </si>
  <si>
    <t>Voorzieningen</t>
  </si>
  <si>
    <t>Investeringen en ruimtebeslag plaatsen</t>
  </si>
  <si>
    <t>Totaal voorzieningen</t>
  </si>
  <si>
    <t>Totale beheer en onderhoud</t>
  </si>
  <si>
    <t>Nachten</t>
  </si>
  <si>
    <t>Standaard één stortplaats.</t>
  </si>
  <si>
    <t>Subsidie</t>
  </si>
  <si>
    <t>Seijsener</t>
  </si>
  <si>
    <t>Facet</t>
  </si>
  <si>
    <t>Kengetallen</t>
  </si>
  <si>
    <r>
      <t>·</t>
    </r>
    <r>
      <rPr>
        <sz val="7"/>
        <color theme="1"/>
        <rFont val="Times New Roman"/>
        <family val="1"/>
      </rPr>
      <t xml:space="preserve">         </t>
    </r>
    <r>
      <rPr>
        <sz val="11"/>
        <color theme="1"/>
        <rFont val="Calibri"/>
        <family val="2"/>
        <scheme val="minor"/>
      </rPr>
      <t>Asfaltverharding of vergelijkbaar op de standplaats</t>
    </r>
  </si>
  <si>
    <r>
      <t>·</t>
    </r>
    <r>
      <rPr>
        <sz val="7"/>
        <color theme="1"/>
        <rFont val="Times New Roman"/>
        <family val="1"/>
      </rPr>
      <t xml:space="preserve">         </t>
    </r>
    <r>
      <rPr>
        <sz val="11"/>
        <color theme="1"/>
        <rFont val="Calibri"/>
        <family val="2"/>
        <scheme val="minor"/>
      </rPr>
      <t>Klinkerverharding of grasdallen op de standplaats</t>
    </r>
  </si>
  <si>
    <t>Speelvoorziening</t>
  </si>
  <si>
    <t>Voorbeeld Bedrijf</t>
  </si>
  <si>
    <t>Doelstelling tool</t>
  </si>
  <si>
    <r>
      <t>·</t>
    </r>
    <r>
      <rPr>
        <sz val="7"/>
        <color theme="1"/>
        <rFont val="Times New Roman"/>
        <family val="1"/>
      </rPr>
      <t xml:space="preserve">         </t>
    </r>
    <r>
      <rPr>
        <sz val="11"/>
        <color theme="1"/>
        <rFont val="Calibri"/>
        <family val="2"/>
        <scheme val="minor"/>
      </rPr>
      <t>Asfaltverharding of vergelijkbaar van de wegen en paden op het park</t>
    </r>
  </si>
  <si>
    <t>Een basisinvestering van € 5.000,- en boven de 20 standplaatsn een uitbreiding van € 250,- per standplaats</t>
  </si>
  <si>
    <t>Speelvoorzieningen</t>
  </si>
  <si>
    <t>Aanvullende investeringen</t>
  </si>
  <si>
    <t>NL-7316 MA Apeldoorn</t>
  </si>
  <si>
    <t>Door te klikken op de tabbladen links onder in het scherm krijgt u toegang tot het model en de toelichting.</t>
  </si>
  <si>
    <t>kampeerautoplaatsen op een bestaand bedrijf bieden. Het model maakt gebruik van algemene kengetallen op basis van</t>
  </si>
  <si>
    <t>Aantal kampeerautoplaatsen</t>
  </si>
  <si>
    <r>
      <t>·</t>
    </r>
    <r>
      <rPr>
        <sz val="7"/>
        <color theme="1"/>
        <rFont val="Times New Roman"/>
        <family val="1"/>
      </rPr>
      <t xml:space="preserve">         </t>
    </r>
    <r>
      <rPr>
        <sz val="11"/>
        <color theme="1"/>
        <rFont val="Calibri"/>
        <family val="2"/>
        <scheme val="minor"/>
      </rPr>
      <t>Beperkte groenvoorziening tussen de kampeerautoplaatsen</t>
    </r>
  </si>
  <si>
    <r>
      <t>·</t>
    </r>
    <r>
      <rPr>
        <sz val="7"/>
        <color theme="1"/>
        <rFont val="Times New Roman"/>
        <family val="1"/>
      </rPr>
      <t xml:space="preserve">         </t>
    </r>
    <r>
      <rPr>
        <sz val="11"/>
        <color theme="1"/>
        <rFont val="Calibri"/>
        <family val="2"/>
        <scheme val="minor"/>
      </rPr>
      <t>Groenvoorziening tussen de kampeerautoplaatsen</t>
    </r>
  </si>
  <si>
    <r>
      <t>·</t>
    </r>
    <r>
      <rPr>
        <sz val="7"/>
        <color theme="1"/>
        <rFont val="Times New Roman"/>
        <family val="1"/>
      </rPr>
      <t xml:space="preserve">         </t>
    </r>
    <r>
      <rPr>
        <sz val="11"/>
        <color theme="1"/>
        <rFont val="Calibri"/>
        <family val="2"/>
        <scheme val="minor"/>
      </rPr>
      <t>Ruime groenvoorziening tussen de kampeerautoplaatsen</t>
    </r>
  </si>
  <si>
    <t>van het totale kampeerautoterrein.</t>
  </si>
  <si>
    <t>Groenvoorziening &amp; randbeplanting</t>
  </si>
  <si>
    <t>Totaal Groenvoorziening &amp; randbeplanting</t>
  </si>
  <si>
    <t>Randbeplanting</t>
  </si>
  <si>
    <t>Servicestation</t>
  </si>
  <si>
    <t>Zonder betaalautomaat</t>
  </si>
  <si>
    <t>Met betaalautomaat</t>
  </si>
  <si>
    <t>Met boekingsautomaat</t>
  </si>
  <si>
    <t>Betaalautomaat</t>
  </si>
  <si>
    <t>Met slagboom</t>
  </si>
  <si>
    <t>met slagboom</t>
  </si>
  <si>
    <t>met betaalautomaat</t>
  </si>
  <si>
    <t>betaalautomaat</t>
  </si>
  <si>
    <t>Betaaltautomaat</t>
  </si>
  <si>
    <t xml:space="preserve">Toelichting businesstool </t>
  </si>
  <si>
    <t>kampeerautoplaatsen</t>
  </si>
  <si>
    <r>
      <t>·</t>
    </r>
    <r>
      <rPr>
        <sz val="7"/>
        <color theme="1"/>
        <rFont val="Times New Roman"/>
        <family val="1"/>
      </rPr>
      <t xml:space="preserve">         </t>
    </r>
    <r>
      <rPr>
        <sz val="11"/>
        <color theme="1"/>
        <rFont val="Calibri"/>
        <family val="2"/>
        <scheme val="minor"/>
      </rPr>
      <t>Een oppervlak van 50m2</t>
    </r>
  </si>
  <si>
    <t>In Belgie</t>
  </si>
  <si>
    <t>Wifi</t>
  </si>
  <si>
    <t>Businesstool kampeerautoplaatsen 2020</t>
  </si>
  <si>
    <t>Van Keulen</t>
  </si>
  <si>
    <t>Dit model is tot stand gekomen in opdracht van Toerisme Vlaanderen. Het model is opgesteld in samenwerking met:</t>
  </si>
  <si>
    <t>Uitgangspunten</t>
  </si>
  <si>
    <t>Totaal variabele kosten elektra</t>
  </si>
  <si>
    <t>Kosten hoofdverdeelkast</t>
  </si>
  <si>
    <t>Totale kosten elektra</t>
  </si>
  <si>
    <t>Sanistation + afvalbakken</t>
  </si>
  <si>
    <t>Vormgeving en groenaankleding</t>
  </si>
  <si>
    <t>Vormgeving camperplaats</t>
  </si>
  <si>
    <t>Afrekenen per Kwh</t>
  </si>
  <si>
    <t>Elektronisch betaalsysteem Kwh</t>
  </si>
  <si>
    <t>Internet is tegenwoordig een eerste levensbehoefte. Zeker in gebieden waar het bereik van de mobiele telefoon beperkt is</t>
  </si>
  <si>
    <t>Disclaimer: Deze tool is bedoeld als hulpmiddel bij de gedachtenvorming rond de realisatie van kampeerautoplaatsen. De uitkomsten zijn algemeen, niet bedrijfsspecifiek en dus indicatief.  Aan het model kunnen geen rechten worden ontleend.  09-01-2020</t>
  </si>
  <si>
    <t xml:space="preserve">De verwachte bezetting per plaats in nachten.  De  bezetting ligt naar verwachting tussen de 60 en 175 nachten per plaats. </t>
  </si>
  <si>
    <t>Met dank aan:</t>
  </si>
  <si>
    <t>Facet Architecten</t>
  </si>
  <si>
    <t>Seijsener Recreatietechniek</t>
  </si>
  <si>
    <t>www.seijsener.com</t>
  </si>
  <si>
    <t>Kompascamping</t>
  </si>
  <si>
    <t>www.kompascamping.be</t>
  </si>
  <si>
    <t>Dit model is tot stand gekomen in opdracht van Toerisme Vlaanderen in samenwerking met:</t>
  </si>
  <si>
    <t>Een basisinvestering van € 3.000,- en boven de 20 standplaatsn een uitbreiding van € 250,- per standplaats</t>
  </si>
  <si>
    <t>Een per 60 plaatsen. Aantal wordt naar boven afgerond.</t>
  </si>
  <si>
    <t>Well'camp</t>
  </si>
  <si>
    <t>www.wellcamp.nl</t>
  </si>
  <si>
    <t>Van Keulen Mobielbouw</t>
  </si>
  <si>
    <t>www.mobielbouw.nl</t>
  </si>
  <si>
    <t>NKC</t>
  </si>
  <si>
    <t>www.nkc.nl</t>
  </si>
  <si>
    <t>Het model biedt de keuze tussen drie soorten plaatsen:</t>
  </si>
  <si>
    <t>(1 toilet, 1 douche en 1 wastafel per 14 kampeerautoplaatsen).</t>
  </si>
  <si>
    <t>Een slagboom voor toegangscontrole.</t>
  </si>
  <si>
    <t>Eenvoudige automaat voor het betalen van de kampeerautoplaats.</t>
  </si>
  <si>
    <t>Geavanceerde automaat voor in- en uitchecken van de kampeerautoplaats.</t>
  </si>
  <si>
    <t>Uitgangspunt is dat een subsidie de investering verlaagt, waardoor ook de jaarlijkse afschrijvingen lager worden.</t>
  </si>
  <si>
    <t>Betalen per Kwh.</t>
  </si>
  <si>
    <r>
      <t>·</t>
    </r>
    <r>
      <rPr>
        <sz val="7"/>
        <color theme="1"/>
        <rFont val="Times New Roman"/>
        <family val="1"/>
      </rPr>
      <t xml:space="preserve">         </t>
    </r>
    <r>
      <rPr>
        <sz val="11"/>
        <color theme="1"/>
        <rFont val="Calibri"/>
        <family val="2"/>
        <scheme val="minor"/>
      </rPr>
      <t>Een oppervlak van 24m2</t>
    </r>
  </si>
  <si>
    <t>Standaardplaats</t>
  </si>
  <si>
    <t>Standaardplaatsen</t>
  </si>
  <si>
    <t>(indicatief)</t>
  </si>
  <si>
    <t>Prijsstelling (incl. BTW)</t>
  </si>
  <si>
    <t>Dit rekenmodel is bedoeld als hulpmiddel om een (financieel) beeld te schetsen van de mogelijkheden en kansen die</t>
  </si>
  <si>
    <t xml:space="preserve">gemiddelden. Hou daar zeker rekening mee bij je besluitvorming! Bekijk de resultaten in het rekenmodel altijd samen </t>
  </si>
  <si>
    <t xml:space="preserve">op de locatie en een hoger of lager afwerkings- en kwaliteitsniveau de kostenramingen aanzienlijk kunnen doen </t>
  </si>
  <si>
    <t xml:space="preserve">met jou bedrijfsspecifieke cijfers om je een correct beeld te vormen. Ervaring leert dat specifieke omstandigheden </t>
  </si>
  <si>
    <t>afwijken van de schatting in het rekenmodel op basis van gemiddelde bedragen.</t>
  </si>
  <si>
    <t>Westtoer</t>
  </si>
  <si>
    <t>www.westtoer.be</t>
  </si>
  <si>
    <t>In dit rekenmodel zijn geen kosten meegenomen voor het slopen en opruimen van bestaande bebouwing of infrastructuur.</t>
  </si>
  <si>
    <t xml:space="preserve">Ook het afvoeren van grond is niet in de begroting van de investeringen opgenomen. </t>
  </si>
  <si>
    <t xml:space="preserve">De berekening gaat dus uit van een schoon stuk grond dat vrij beschikbaar is. Het model biedt wel de mogelijkheid om </t>
  </si>
  <si>
    <t>Het model houdt ook geen rekening met de huidige inkomsten van het terrein indien sprake is van herinrichting.</t>
  </si>
  <si>
    <r>
      <t>·</t>
    </r>
    <r>
      <rPr>
        <sz val="7"/>
        <color theme="1"/>
        <rFont val="Times New Roman"/>
        <family val="1"/>
      </rPr>
      <t>    </t>
    </r>
    <r>
      <rPr>
        <sz val="11"/>
        <color theme="1"/>
        <rFont val="Calibri"/>
        <family val="2"/>
        <scheme val="minor"/>
      </rPr>
      <t>   Minimaal de helft van de plaatsen beschikt over een elektriciteitsaansluiting</t>
    </r>
  </si>
  <si>
    <r>
      <t>·</t>
    </r>
    <r>
      <rPr>
        <sz val="11"/>
        <color theme="1"/>
        <rFont val="Calibri"/>
        <family val="2"/>
        <scheme val="minor"/>
      </rPr>
      <t>      Elektrciteitsaansluitingen via een centrale elektriciteitskast</t>
    </r>
  </si>
  <si>
    <r>
      <t>·</t>
    </r>
    <r>
      <rPr>
        <sz val="7"/>
        <color theme="1"/>
        <rFont val="Times New Roman"/>
        <family val="1"/>
      </rPr>
      <t xml:space="preserve">         </t>
    </r>
    <r>
      <rPr>
        <sz val="11"/>
        <color theme="1"/>
        <rFont val="Calibri"/>
        <family val="2"/>
        <scheme val="minor"/>
      </rPr>
      <t>Een elektriciteitsaansluiting via een centrale elektriciteitskast</t>
    </r>
  </si>
  <si>
    <r>
      <t>·</t>
    </r>
    <r>
      <rPr>
        <sz val="7"/>
        <color theme="1"/>
        <rFont val="Times New Roman"/>
        <family val="1"/>
      </rPr>
      <t xml:space="preserve">         </t>
    </r>
    <r>
      <rPr>
        <sz val="11"/>
        <color theme="1"/>
        <rFont val="Calibri"/>
        <family val="2"/>
        <scheme val="minor"/>
      </rPr>
      <t>Een elektriciteitsaansluiting via een eigen aansluiting op de standplaats</t>
    </r>
  </si>
  <si>
    <r>
      <t xml:space="preserve">De prijs per nacht </t>
    </r>
    <r>
      <rPr>
        <b/>
        <sz val="11"/>
        <color theme="1"/>
        <rFont val="Calibri"/>
        <family val="2"/>
        <scheme val="minor"/>
      </rPr>
      <t xml:space="preserve">inclusief </t>
    </r>
    <r>
      <rPr>
        <sz val="11"/>
        <color theme="1"/>
        <rFont val="Calibri"/>
        <family val="2"/>
        <scheme val="minor"/>
      </rPr>
      <t xml:space="preserve">BTW en </t>
    </r>
    <r>
      <rPr>
        <b/>
        <sz val="11"/>
        <color theme="1"/>
        <rFont val="Calibri"/>
        <family val="2"/>
        <scheme val="minor"/>
      </rPr>
      <t>exclusief</t>
    </r>
    <r>
      <rPr>
        <sz val="11"/>
        <color theme="1"/>
        <rFont val="Calibri"/>
        <family val="2"/>
        <scheme val="minor"/>
      </rPr>
      <t xml:space="preserve"> toeristenbelasting. In dit tarief moet je ook </t>
    </r>
  </si>
  <si>
    <t>de kosten van lozen vuil water, inname schoon water en elektriciteit meenemen.</t>
  </si>
  <si>
    <t>Sanistation (lozingspunt chemisch toilet + afzonderlijk watertappunt)</t>
  </si>
  <si>
    <t xml:space="preserve">Plek waar je het chemisch toilet kan legen en schoonmaken met waterspoeling </t>
  </si>
  <si>
    <t>Een aparte verharde plaats waar je vuil water kan lozen en drinkwater kan innemen.</t>
  </si>
  <si>
    <t>Essentiële voorzieningen</t>
  </si>
  <si>
    <t>(Verplicht voor camperterreinen tot en met 8 plaatsen en terrreingebonden logies)</t>
  </si>
  <si>
    <t>(Verplicht voor camperterreinen vanaf 9 plaatsen en campings)</t>
  </si>
  <si>
    <t>met slang, én drinkwater kan innemen aan een apart watertappunt.</t>
  </si>
  <si>
    <t xml:space="preserve">Kampeerauto's zijn zelfvoorzienend. Om meer luxe te bieden, kan je op het </t>
  </si>
  <si>
    <t>sanitaire voorziening is afhankelijk van het aantal kampeerautoplaatsen</t>
  </si>
  <si>
    <t>terrein een sanitaire voorziening realiseren. De capaciteit van de</t>
  </si>
  <si>
    <t>kan het aanleggen van een wifi-netwerk het kampeerautoterrein aantrekkelijker maken.</t>
  </si>
  <si>
    <t xml:space="preserve">pasjesysteem of zelfs via een app (bijvoorbeeld AanUit.net) afrekenen. Met het oog op de investeringen wordt in het model de </t>
  </si>
  <si>
    <t>Kampeerautoterreinen kunnen prijzen inclusief en exclusief stroom rekenen. Stroom kan je met een muntautomaat, een</t>
  </si>
  <si>
    <t>mogelijkheid geboden om deze optie aan te vinken. Bij de prijsstelling moet je wel een tarief inclusief stroom invoeren.</t>
  </si>
  <si>
    <t>De genoemde investeringen in het rekenmodel zijn gebaseerd op het inrichten van een bouwrijp terrein. Eventuele extra kosten</t>
  </si>
  <si>
    <t xml:space="preserve">is ook mogelijk dat je aanvullende voorzieningen wenst aan te leggen of te voorzien op het camperpark. Deze extra investeringen </t>
  </si>
  <si>
    <t>kan je in dit veld invoeren.</t>
  </si>
  <si>
    <t>om het terrein bouwrijp te maken, zoals slopen en verwijderen van infrastructuur, kan je zelf in dit veld invoeren. Het</t>
  </si>
  <si>
    <t>Indien je verwacht dat je een subsidie op de investering kan verkrijgen, vul je het verwachte bedrag hier in.</t>
  </si>
  <si>
    <t>Het financieren van de investering zal deels gebeuren met eigen middelen. Omdat dit voor elke ondernemer verschillend</t>
  </si>
  <si>
    <t>Berekening rendement op totale vermogen: (bedrijfsresultaat + 'gemiddeld' betaalde rente) / totaal investeringsbedrag.</t>
  </si>
  <si>
    <t>Berekening rendement op eigen vermogen: bedrijfsresultaat / financiering met eigen middelen.</t>
  </si>
  <si>
    <t>aanvullende investeringen in de berekening mee te nemen. Alle bedragen exclusief BTW. (behalve prijsstelling)</t>
  </si>
  <si>
    <t>Een basisinvestering van € 35.000,- (inclusief kosten vervoer en aansluiting) en boven de 20 standplaatsen een uitbreiding per plaats afhankelijk van de soort plaats.</t>
  </si>
  <si>
    <t>Aantal te realiseren kampeerautoplaatsen. Het model gaat uit van minimaal 5 plaatsen.</t>
  </si>
  <si>
    <t>Berekening terugverdientijd: totale investering / cashflow. De cashflow is het bedrijfsresultaat plus de afschrijvingen.</t>
  </si>
  <si>
    <t>Externe financiering</t>
  </si>
  <si>
    <t xml:space="preserve">In het model wordt geen rekening gehouden met de looptijd van externe financiering. Zorg er voor dat de jaarlijkse aflossing </t>
  </si>
  <si>
    <t xml:space="preserve">op de lening(en) vanuit de cashflow (bedrijfsresultaat + afschrijvingen) kan worden betaald. Houd hierbij ook rekening met </t>
  </si>
  <si>
    <t>te betalen belasting.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</si>
</sst>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quot;€&quot;\ * #,##0_ ;_ &quot;€&quot;\ * \-#,##0_ ;_ &quot;€&quot;\ * &quot;-&quot;_ ;_ @_ "/>
    <numFmt numFmtId="165" formatCode="_ &quot;€&quot;\ * #,##0.00_ ;_ &quot;€&quot;\ * \-#,##0.00_ ;_ &quot;€&quot;\ * &quot;-&quot;??_ ;_ @_ "/>
    <numFmt numFmtId="166" formatCode="0.0"/>
    <numFmt numFmtId="167" formatCode="0.0%"/>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11"/>
      <color theme="1"/>
      <name val="Calibri"/>
      <family val="2"/>
      <scheme val="minor"/>
    </font>
    <font>
      <b/>
      <sz val="14"/>
      <color theme="0"/>
      <name val="Calibri"/>
      <family val="2"/>
      <scheme val="minor"/>
    </font>
    <font>
      <b/>
      <sz val="16"/>
      <color theme="1"/>
      <name val="Calibri"/>
      <family val="2"/>
      <scheme val="minor"/>
    </font>
    <font>
      <sz val="14"/>
      <color theme="1"/>
      <name val="Calibri"/>
      <family val="2"/>
      <scheme val="minor"/>
    </font>
    <font>
      <b/>
      <sz val="12"/>
      <color theme="1"/>
      <name val="Calibri"/>
      <family val="2"/>
      <scheme val="minor"/>
    </font>
    <font>
      <sz val="11"/>
      <color theme="1"/>
      <name val="Symbol"/>
      <family val="1"/>
      <charset val="2"/>
    </font>
    <font>
      <sz val="7"/>
      <color theme="1"/>
      <name val="Times New Roman"/>
      <family val="1"/>
    </font>
    <font>
      <b/>
      <sz val="14"/>
      <color theme="1"/>
      <name val="Calibri"/>
      <family val="2"/>
      <scheme val="minor"/>
    </font>
    <font>
      <u/>
      <sz val="11"/>
      <color theme="10"/>
      <name val="Calibri"/>
      <family val="2"/>
      <scheme val="minor"/>
    </font>
    <font>
      <b/>
      <sz val="11"/>
      <color theme="0"/>
      <name val="Calibri"/>
      <family val="2"/>
      <scheme val="minor"/>
    </font>
    <font>
      <b/>
      <sz val="16"/>
      <name val="Calibri"/>
      <family val="2"/>
      <scheme val="minor"/>
    </font>
    <font>
      <i/>
      <sz val="11"/>
      <color theme="1"/>
      <name val="Calibri"/>
      <family val="2"/>
      <scheme val="minor"/>
    </font>
    <font>
      <i/>
      <sz val="11"/>
      <name val="Calibri"/>
      <family val="2"/>
      <scheme val="minor"/>
    </font>
    <font>
      <b/>
      <sz val="16"/>
      <color theme="0"/>
      <name val="Calibri"/>
      <family val="2"/>
      <scheme val="minor"/>
    </font>
    <font>
      <sz val="8"/>
      <color theme="1"/>
      <name val="Calibri"/>
      <family val="2"/>
      <scheme val="minor"/>
    </font>
    <font>
      <sz val="16"/>
      <color theme="1"/>
      <name val="Calibri"/>
      <family val="2"/>
      <scheme val="minor"/>
    </font>
    <font>
      <b/>
      <u/>
      <sz val="12"/>
      <color theme="10"/>
      <name val="Calibri"/>
      <family val="2"/>
      <scheme val="minor"/>
    </font>
    <font>
      <b/>
      <sz val="9"/>
      <color indexed="81"/>
      <name val="Tahoma"/>
      <family val="2"/>
    </font>
    <font>
      <b/>
      <sz val="13"/>
      <color theme="0"/>
      <name val="Calibri"/>
      <family val="2"/>
      <scheme val="minor"/>
    </font>
    <font>
      <i/>
      <sz val="11"/>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45555F"/>
        <bgColor indexed="64"/>
      </patternFill>
    </fill>
    <fill>
      <patternFill patternType="solid">
        <fgColor rgb="FFA20234"/>
        <bgColor indexed="64"/>
      </patternFill>
    </fill>
    <fill>
      <patternFill patternType="solid">
        <fgColor rgb="FFFFFF00"/>
        <bgColor indexed="64"/>
      </patternFill>
    </fill>
    <fill>
      <patternFill patternType="solid">
        <fgColor rgb="FF90C3D4"/>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9" tint="0.7999816888943144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6" fillId="0" borderId="0" applyFont="0" applyFill="0" applyBorder="0" applyAlignment="0" applyProtection="0"/>
    <xf numFmtId="0" fontId="14" fillId="0" borderId="0" applyNumberFormat="0" applyFill="0" applyBorder="0" applyAlignment="0" applyProtection="0"/>
  </cellStyleXfs>
  <cellXfs count="160">
    <xf numFmtId="0" fontId="0" fillId="0" borderId="0" xfId="0"/>
    <xf numFmtId="0" fontId="0" fillId="0" borderId="1" xfId="0" applyFill="1" applyBorder="1" applyProtection="1">
      <protection locked="0"/>
    </xf>
    <xf numFmtId="0" fontId="2" fillId="0" borderId="0" xfId="0" applyFont="1"/>
    <xf numFmtId="9" fontId="0" fillId="0" borderId="0" xfId="0" applyNumberFormat="1"/>
    <xf numFmtId="0" fontId="8" fillId="0" borderId="0" xfId="0" applyFont="1"/>
    <xf numFmtId="0" fontId="0" fillId="0" borderId="0" xfId="0" applyAlignment="1">
      <alignment vertical="center"/>
    </xf>
    <xf numFmtId="0" fontId="11" fillId="0" borderId="0" xfId="0" applyFont="1" applyAlignment="1">
      <alignment horizontal="left" vertical="center" indent="5"/>
    </xf>
    <xf numFmtId="0" fontId="2" fillId="0" borderId="0" xfId="0" applyFont="1" applyAlignment="1">
      <alignment vertical="center"/>
    </xf>
    <xf numFmtId="0" fontId="13" fillId="0" borderId="0" xfId="0" applyFont="1" applyAlignment="1">
      <alignment vertical="center"/>
    </xf>
    <xf numFmtId="167" fontId="0" fillId="0" borderId="1" xfId="0" applyNumberFormat="1" applyFill="1" applyBorder="1" applyProtection="1">
      <protection locked="0"/>
    </xf>
    <xf numFmtId="164" fontId="0" fillId="0" borderId="1" xfId="0" applyNumberFormat="1" applyFill="1" applyBorder="1" applyProtection="1">
      <protection locked="0"/>
    </xf>
    <xf numFmtId="165" fontId="0" fillId="0" borderId="1" xfId="0" applyNumberFormat="1" applyFill="1" applyBorder="1" applyProtection="1">
      <protection locked="0"/>
    </xf>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9" fillId="0" borderId="1" xfId="0" applyFont="1" applyBorder="1"/>
    <xf numFmtId="0" fontId="2" fillId="0" borderId="4" xfId="0" applyFont="1" applyBorder="1"/>
    <xf numFmtId="0" fontId="0" fillId="6" borderId="0" xfId="0" applyFill="1" applyBorder="1"/>
    <xf numFmtId="0" fontId="9" fillId="0" borderId="4" xfId="0" applyFont="1" applyBorder="1"/>
    <xf numFmtId="0" fontId="8" fillId="0" borderId="4" xfId="0" applyFont="1" applyBorder="1"/>
    <xf numFmtId="0" fontId="0" fillId="0" borderId="0" xfId="0" applyBorder="1" applyAlignment="1">
      <alignment horizontal="right"/>
    </xf>
    <xf numFmtId="0" fontId="8" fillId="0" borderId="1" xfId="0" applyFont="1" applyBorder="1"/>
    <xf numFmtId="3" fontId="0" fillId="0" borderId="0" xfId="0" applyNumberFormat="1" applyBorder="1"/>
    <xf numFmtId="164" fontId="0" fillId="0" borderId="0" xfId="0" applyNumberFormat="1" applyBorder="1"/>
    <xf numFmtId="1" fontId="0" fillId="0" borderId="0" xfId="0" applyNumberFormat="1" applyBorder="1"/>
    <xf numFmtId="9" fontId="0" fillId="0" borderId="2" xfId="0" applyNumberFormat="1" applyBorder="1"/>
    <xf numFmtId="3" fontId="0" fillId="0" borderId="7" xfId="0" applyNumberFormat="1" applyBorder="1"/>
    <xf numFmtId="0" fontId="0" fillId="0" borderId="0" xfId="0" applyFill="1" applyBorder="1"/>
    <xf numFmtId="0" fontId="0" fillId="0" borderId="7" xfId="0" applyFill="1" applyBorder="1"/>
    <xf numFmtId="0" fontId="0" fillId="7" borderId="0" xfId="0" applyFill="1"/>
    <xf numFmtId="3" fontId="0" fillId="7" borderId="0" xfId="0" applyNumberFormat="1" applyFill="1"/>
    <xf numFmtId="0" fontId="0" fillId="8" borderId="0" xfId="0" applyFill="1"/>
    <xf numFmtId="3" fontId="0" fillId="8" borderId="0" xfId="0" applyNumberFormat="1" applyFill="1"/>
    <xf numFmtId="0" fontId="0" fillId="9" borderId="0" xfId="0" applyFill="1"/>
    <xf numFmtId="3" fontId="0" fillId="9" borderId="0" xfId="0" applyNumberFormat="1" applyFill="1"/>
    <xf numFmtId="164" fontId="0" fillId="7" borderId="0" xfId="0" applyNumberFormat="1" applyFill="1"/>
    <xf numFmtId="0" fontId="8" fillId="8" borderId="0" xfId="0" applyFont="1" applyFill="1"/>
    <xf numFmtId="0" fontId="8" fillId="7" borderId="0" xfId="0" applyFont="1" applyFill="1"/>
    <xf numFmtId="2" fontId="0" fillId="7" borderId="0" xfId="0" applyNumberFormat="1" applyFill="1"/>
    <xf numFmtId="0" fontId="8" fillId="9" borderId="0" xfId="0" applyFont="1" applyFill="1"/>
    <xf numFmtId="0" fontId="2" fillId="9" borderId="0" xfId="0" applyFont="1" applyFill="1"/>
    <xf numFmtId="0" fontId="17" fillId="9" borderId="0" xfId="0" applyFont="1" applyFill="1"/>
    <xf numFmtId="0" fontId="0" fillId="10" borderId="0" xfId="0" applyFill="1"/>
    <xf numFmtId="0" fontId="16" fillId="10" borderId="0" xfId="0" applyFont="1" applyFill="1" applyProtection="1">
      <protection hidden="1"/>
    </xf>
    <xf numFmtId="0" fontId="4" fillId="10" borderId="0" xfId="0" applyFont="1" applyFill="1" applyProtection="1">
      <protection hidden="1"/>
    </xf>
    <xf numFmtId="164" fontId="0" fillId="10" borderId="0" xfId="0" applyNumberFormat="1" applyFill="1"/>
    <xf numFmtId="0" fontId="18" fillId="10" borderId="0" xfId="0" applyFont="1" applyFill="1"/>
    <xf numFmtId="3" fontId="0" fillId="10" borderId="0" xfId="0" applyNumberFormat="1" applyFill="1"/>
    <xf numFmtId="0" fontId="2" fillId="9" borderId="1" xfId="0" applyFont="1" applyFill="1" applyBorder="1"/>
    <xf numFmtId="0" fontId="2" fillId="9" borderId="2" xfId="0" applyFont="1" applyFill="1" applyBorder="1"/>
    <xf numFmtId="0" fontId="2" fillId="9" borderId="3" xfId="0" applyFont="1" applyFill="1" applyBorder="1"/>
    <xf numFmtId="0" fontId="0" fillId="9" borderId="4" xfId="0" applyFill="1" applyBorder="1"/>
    <xf numFmtId="0" fontId="0" fillId="9" borderId="0" xfId="0" applyFill="1" applyBorder="1"/>
    <xf numFmtId="0" fontId="0" fillId="9" borderId="5" xfId="0" applyFill="1" applyBorder="1"/>
    <xf numFmtId="0" fontId="0" fillId="9" borderId="6" xfId="0" applyFill="1" applyBorder="1"/>
    <xf numFmtId="0" fontId="0" fillId="9" borderId="7" xfId="0" applyFill="1" applyBorder="1"/>
    <xf numFmtId="0" fontId="0" fillId="9" borderId="8" xfId="0" applyFill="1" applyBorder="1"/>
    <xf numFmtId="0" fontId="0" fillId="10" borderId="1" xfId="0" applyFill="1" applyBorder="1"/>
    <xf numFmtId="0" fontId="0" fillId="10" borderId="2" xfId="0" applyFill="1" applyBorder="1"/>
    <xf numFmtId="0" fontId="0" fillId="10" borderId="3" xfId="0" applyFill="1" applyBorder="1"/>
    <xf numFmtId="0" fontId="0" fillId="10" borderId="4" xfId="0" applyFill="1" applyBorder="1"/>
    <xf numFmtId="0" fontId="0" fillId="10" borderId="0" xfId="0" applyFill="1" applyBorder="1"/>
    <xf numFmtId="0" fontId="0" fillId="10" borderId="5" xfId="0" applyFill="1" applyBorder="1"/>
    <xf numFmtId="3" fontId="0" fillId="10" borderId="6" xfId="0" applyNumberFormat="1" applyFill="1" applyBorder="1"/>
    <xf numFmtId="0" fontId="0" fillId="10" borderId="7" xfId="0" applyFill="1" applyBorder="1"/>
    <xf numFmtId="0" fontId="0" fillId="10" borderId="8" xfId="0" applyFill="1" applyBorder="1"/>
    <xf numFmtId="0" fontId="0" fillId="8" borderId="1" xfId="0" applyFill="1" applyBorder="1"/>
    <xf numFmtId="0" fontId="0" fillId="8" borderId="2" xfId="0" applyFill="1" applyBorder="1"/>
    <xf numFmtId="0" fontId="0" fillId="8" borderId="3" xfId="0" applyFill="1" applyBorder="1"/>
    <xf numFmtId="3" fontId="0" fillId="8" borderId="4" xfId="0" applyNumberFormat="1" applyFill="1" applyBorder="1"/>
    <xf numFmtId="0" fontId="0" fillId="8" borderId="0" xfId="0" applyFill="1" applyBorder="1"/>
    <xf numFmtId="9" fontId="0" fillId="8" borderId="5" xfId="1" applyFont="1" applyFill="1" applyBorder="1"/>
    <xf numFmtId="0" fontId="0" fillId="8" borderId="6" xfId="0" applyFill="1" applyBorder="1"/>
    <xf numFmtId="0" fontId="0" fillId="8" borderId="7" xfId="0" applyFill="1" applyBorder="1"/>
    <xf numFmtId="0" fontId="0" fillId="8" borderId="8" xfId="0" applyFill="1" applyBorder="1"/>
    <xf numFmtId="0" fontId="0" fillId="10" borderId="0" xfId="0" applyFill="1" applyAlignment="1">
      <alignment horizontal="right"/>
    </xf>
    <xf numFmtId="0" fontId="0" fillId="5" borderId="1" xfId="0" applyFill="1" applyBorder="1" applyProtection="1">
      <protection hidden="1"/>
    </xf>
    <xf numFmtId="0" fontId="0" fillId="5" borderId="2"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19" fillId="5" borderId="0" xfId="0" applyFont="1" applyFill="1" applyBorder="1" applyProtection="1">
      <protection hidden="1"/>
    </xf>
    <xf numFmtId="0" fontId="0" fillId="5" borderId="0" xfId="0" applyFill="1" applyBorder="1" applyProtection="1">
      <protection hidden="1"/>
    </xf>
    <xf numFmtId="0" fontId="0" fillId="5" borderId="5" xfId="0" applyFill="1" applyBorder="1" applyProtection="1">
      <protection hidden="1"/>
    </xf>
    <xf numFmtId="0" fontId="0" fillId="5" borderId="5" xfId="0" applyFill="1" applyBorder="1"/>
    <xf numFmtId="0" fontId="3" fillId="5" borderId="0" xfId="0" applyFont="1" applyFill="1" applyBorder="1" applyProtection="1">
      <protection hidden="1"/>
    </xf>
    <xf numFmtId="0" fontId="1" fillId="5" borderId="0" xfId="0" applyFont="1" applyFill="1" applyBorder="1" applyProtection="1">
      <protection hidden="1"/>
    </xf>
    <xf numFmtId="0" fontId="0" fillId="5" borderId="0" xfId="0" applyFill="1" applyBorder="1"/>
    <xf numFmtId="0" fontId="1" fillId="5" borderId="4" xfId="0" applyFont="1" applyFill="1" applyBorder="1" applyProtection="1">
      <protection hidden="1"/>
    </xf>
    <xf numFmtId="0" fontId="1" fillId="5" borderId="5" xfId="0" applyFont="1" applyFill="1" applyBorder="1" applyProtection="1">
      <protection hidden="1"/>
    </xf>
    <xf numFmtId="0" fontId="0" fillId="5" borderId="6" xfId="0" applyFill="1" applyBorder="1" applyProtection="1">
      <protection hidden="1"/>
    </xf>
    <xf numFmtId="0" fontId="0" fillId="5" borderId="7" xfId="0" applyFill="1" applyBorder="1"/>
    <xf numFmtId="0" fontId="0" fillId="5" borderId="7" xfId="0" applyFill="1" applyBorder="1" applyProtection="1">
      <protection hidden="1"/>
    </xf>
    <xf numFmtId="0" fontId="0" fillId="5" borderId="8" xfId="0" applyFill="1" applyBorder="1" applyProtection="1">
      <protection hidden="1"/>
    </xf>
    <xf numFmtId="0" fontId="0" fillId="3" borderId="1" xfId="0" applyFill="1" applyBorder="1"/>
    <xf numFmtId="0" fontId="0" fillId="3" borderId="2" xfId="0" applyFill="1" applyBorder="1"/>
    <xf numFmtId="0" fontId="0" fillId="3" borderId="3" xfId="0" applyFill="1" applyBorder="1"/>
    <xf numFmtId="0" fontId="0" fillId="3" borderId="4" xfId="0" applyFill="1" applyBorder="1"/>
    <xf numFmtId="0" fontId="0" fillId="3" borderId="0" xfId="0" applyFill="1" applyBorder="1"/>
    <xf numFmtId="0" fontId="0" fillId="3" borderId="5" xfId="0" applyFill="1" applyBorder="1"/>
    <xf numFmtId="0" fontId="0" fillId="4" borderId="1" xfId="0" applyFill="1" applyBorder="1" applyProtection="1">
      <protection hidden="1"/>
    </xf>
    <xf numFmtId="0" fontId="0" fillId="4" borderId="2" xfId="0" applyFill="1" applyBorder="1"/>
    <xf numFmtId="0" fontId="0" fillId="4" borderId="3" xfId="0" applyFill="1" applyBorder="1"/>
    <xf numFmtId="0" fontId="0" fillId="4" borderId="4" xfId="0" applyFill="1" applyBorder="1" applyProtection="1">
      <protection hidden="1"/>
    </xf>
    <xf numFmtId="0" fontId="19" fillId="4" borderId="0" xfId="0" applyFont="1" applyFill="1" applyBorder="1"/>
    <xf numFmtId="0" fontId="0" fillId="4" borderId="0" xfId="0" applyFill="1" applyBorder="1"/>
    <xf numFmtId="0" fontId="0" fillId="4" borderId="5" xfId="0" applyFill="1" applyBorder="1"/>
    <xf numFmtId="0" fontId="0" fillId="4" borderId="4" xfId="0" applyFill="1" applyBorder="1"/>
    <xf numFmtId="164" fontId="3" fillId="4" borderId="0" xfId="0" applyNumberFormat="1" applyFont="1" applyFill="1" applyBorder="1"/>
    <xf numFmtId="0" fontId="3" fillId="4" borderId="0" xfId="0" applyFont="1" applyFill="1" applyBorder="1" applyProtection="1">
      <protection hidden="1"/>
    </xf>
    <xf numFmtId="0" fontId="1" fillId="4" borderId="4" xfId="0" applyFont="1" applyFill="1" applyBorder="1" applyProtection="1">
      <protection hidden="1"/>
    </xf>
    <xf numFmtId="164" fontId="15" fillId="4" borderId="0" xfId="0" applyNumberFormat="1" applyFont="1" applyFill="1" applyBorder="1"/>
    <xf numFmtId="0" fontId="15" fillId="4" borderId="0" xfId="0" applyFont="1" applyFill="1" applyBorder="1"/>
    <xf numFmtId="0" fontId="3" fillId="4" borderId="0" xfId="0" applyFont="1" applyFill="1" applyBorder="1"/>
    <xf numFmtId="0" fontId="15" fillId="4" borderId="0" xfId="0" applyFont="1" applyFill="1" applyBorder="1" applyProtection="1">
      <protection hidden="1"/>
    </xf>
    <xf numFmtId="0" fontId="7" fillId="4" borderId="0" xfId="0" applyFont="1" applyFill="1" applyBorder="1" applyProtection="1">
      <protection hidden="1"/>
    </xf>
    <xf numFmtId="0" fontId="0" fillId="0" borderId="1" xfId="0" applyFill="1" applyBorder="1"/>
    <xf numFmtId="0" fontId="0" fillId="0" borderId="4" xfId="0" applyFill="1" applyBorder="1"/>
    <xf numFmtId="0" fontId="0" fillId="2" borderId="0" xfId="0" applyFill="1" applyBorder="1"/>
    <xf numFmtId="0" fontId="2" fillId="2" borderId="0" xfId="0" applyFont="1" applyFill="1" applyBorder="1" applyAlignment="1">
      <alignment horizontal="center"/>
    </xf>
    <xf numFmtId="0" fontId="10" fillId="2" borderId="0" xfId="0" applyFont="1" applyFill="1" applyBorder="1"/>
    <xf numFmtId="164" fontId="10" fillId="2" borderId="0" xfId="0" applyNumberFormat="1" applyFont="1" applyFill="1" applyBorder="1"/>
    <xf numFmtId="9" fontId="10" fillId="2" borderId="0" xfId="1" applyFont="1" applyFill="1" applyBorder="1"/>
    <xf numFmtId="9" fontId="0" fillId="2" borderId="0" xfId="1" applyFont="1" applyFill="1" applyBorder="1"/>
    <xf numFmtId="164" fontId="0" fillId="2" borderId="0" xfId="0" applyNumberFormat="1" applyFill="1" applyBorder="1"/>
    <xf numFmtId="3" fontId="0" fillId="2" borderId="0" xfId="0" applyNumberFormat="1" applyFill="1" applyBorder="1"/>
    <xf numFmtId="0" fontId="2" fillId="2" borderId="0" xfId="0" applyFont="1" applyFill="1" applyBorder="1"/>
    <xf numFmtId="0" fontId="10" fillId="3" borderId="0" xfId="0" applyFont="1" applyFill="1" applyBorder="1"/>
    <xf numFmtId="9" fontId="10" fillId="3" borderId="0" xfId="1" applyFont="1" applyFill="1" applyBorder="1"/>
    <xf numFmtId="166" fontId="10" fillId="3" borderId="0" xfId="0" applyNumberFormat="1" applyFont="1" applyFill="1" applyBorder="1"/>
    <xf numFmtId="3" fontId="10" fillId="3" borderId="0" xfId="0" applyNumberFormat="1" applyFont="1" applyFill="1" applyBorder="1"/>
    <xf numFmtId="0" fontId="0" fillId="0" borderId="9" xfId="0" applyBorder="1"/>
    <xf numFmtId="0" fontId="20" fillId="0" borderId="10" xfId="0" applyFont="1" applyBorder="1"/>
    <xf numFmtId="0" fontId="0" fillId="0" borderId="10" xfId="0" applyBorder="1"/>
    <xf numFmtId="0" fontId="0" fillId="0" borderId="10" xfId="0" applyFill="1" applyBorder="1"/>
    <xf numFmtId="0" fontId="0" fillId="0" borderId="11" xfId="0" applyBorder="1"/>
    <xf numFmtId="0" fontId="24" fillId="5" borderId="0" xfId="0" applyFont="1" applyFill="1" applyBorder="1" applyProtection="1">
      <protection hidden="1"/>
    </xf>
    <xf numFmtId="0" fontId="24" fillId="4" borderId="0" xfId="0" applyFont="1" applyFill="1" applyBorder="1" applyProtection="1">
      <protection hidden="1"/>
    </xf>
    <xf numFmtId="0" fontId="14" fillId="0" borderId="0" xfId="2" applyProtection="1">
      <protection locked="0"/>
    </xf>
    <xf numFmtId="0" fontId="0" fillId="0" borderId="0" xfId="0" applyProtection="1">
      <protection locked="0"/>
    </xf>
    <xf numFmtId="0" fontId="0" fillId="0" borderId="0" xfId="0" applyProtection="1"/>
    <xf numFmtId="0" fontId="0" fillId="6" borderId="2" xfId="0" applyFill="1" applyBorder="1"/>
    <xf numFmtId="0" fontId="0" fillId="6" borderId="0" xfId="0" applyFill="1"/>
    <xf numFmtId="0" fontId="0" fillId="0" borderId="0" xfId="0" applyFill="1" applyAlignment="1">
      <alignment vertical="center"/>
    </xf>
    <xf numFmtId="0" fontId="0" fillId="0" borderId="0" xfId="0" applyFill="1"/>
    <xf numFmtId="0" fontId="2" fillId="0" borderId="0" xfId="0" applyFont="1" applyFill="1"/>
    <xf numFmtId="0" fontId="2" fillId="0" borderId="0" xfId="0" applyFont="1" applyFill="1" applyAlignment="1">
      <alignment vertical="center"/>
    </xf>
    <xf numFmtId="0" fontId="25" fillId="4" borderId="0" xfId="0" applyFont="1" applyFill="1" applyBorder="1" applyProtection="1">
      <protection hidden="1"/>
    </xf>
    <xf numFmtId="0" fontId="14" fillId="0" borderId="0" xfId="2" applyProtection="1"/>
    <xf numFmtId="0" fontId="13" fillId="0" borderId="0" xfId="0" applyFont="1" applyAlignment="1" applyProtection="1">
      <alignment vertical="center"/>
    </xf>
    <xf numFmtId="0" fontId="0" fillId="0" borderId="0" xfId="0" applyAlignment="1" applyProtection="1">
      <alignment vertical="center"/>
    </xf>
    <xf numFmtId="0" fontId="0" fillId="0" borderId="0" xfId="0" applyFill="1" applyAlignment="1" applyProtection="1">
      <alignment vertical="center"/>
    </xf>
    <xf numFmtId="0" fontId="0" fillId="0" borderId="0" xfId="0" applyFill="1" applyProtection="1"/>
    <xf numFmtId="0" fontId="22" fillId="0" borderId="0" xfId="2" applyFont="1" applyProtection="1"/>
    <xf numFmtId="0" fontId="21" fillId="2" borderId="0" xfId="0" applyFont="1" applyFill="1" applyBorder="1" applyAlignment="1" applyProtection="1">
      <alignment horizontal="left"/>
      <protection locked="0"/>
    </xf>
  </cellXfs>
  <cellStyles count="3">
    <cellStyle name="Hyperlink" xfId="2" builtinId="8"/>
    <cellStyle name="Procent" xfId="1" builtinId="5"/>
    <cellStyle name="Standaard" xfId="0" builtinId="0"/>
  </cellStyles>
  <dxfs count="6">
    <dxf>
      <fill>
        <patternFill>
          <bgColor rgb="FFFF00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00B050"/>
        </patternFill>
      </fill>
    </dxf>
  </dxfs>
  <tableStyles count="0" defaultTableStyle="TableStyleMedium2" defaultPivotStyle="PivotStyleLight16"/>
  <colors>
    <mruColors>
      <color rgb="FF90C3D4"/>
      <color rgb="FF4C5E6C"/>
      <color rgb="FFFEACC5"/>
      <color rgb="FFFD3976"/>
      <color rgb="FFA20234"/>
      <color rgb="FFDF0347"/>
      <color rgb="FF45555F"/>
      <color rgb="FF626274"/>
      <color rgb="FF4F4F5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Bedrijfsresultaat </a:t>
            </a:r>
          </a:p>
        </c:rich>
      </c:tx>
      <c:layout>
        <c:manualLayout>
          <c:xMode val="edge"/>
          <c:yMode val="edge"/>
          <c:x val="0.5372022343360926"/>
          <c:y val="3.0418250950570342E-2"/>
        </c:manualLayout>
      </c:layout>
      <c:overlay val="1"/>
    </c:title>
    <c:autoTitleDeleted val="0"/>
    <c:plotArea>
      <c:layout>
        <c:manualLayout>
          <c:layoutTarget val="inner"/>
          <c:xMode val="edge"/>
          <c:yMode val="edge"/>
          <c:x val="0.4000827978694444"/>
          <c:y val="0.15106349767285601"/>
          <c:w val="0.53747219953670178"/>
          <c:h val="0.67889050410648433"/>
        </c:manualLayout>
      </c:layout>
      <c:barChart>
        <c:barDir val="col"/>
        <c:grouping val="stacked"/>
        <c:varyColors val="0"/>
        <c:ser>
          <c:idx val="0"/>
          <c:order val="0"/>
          <c:tx>
            <c:strRef>
              <c:f>Input!$A$72</c:f>
              <c:strCache>
                <c:ptCount val="1"/>
              </c:strCache>
            </c:strRef>
          </c:tx>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Input!$B$72:$C$72</c:f>
              <c:strCache>
                <c:ptCount val="2"/>
                <c:pt idx="0">
                  <c:v>Omzet</c:v>
                </c:pt>
                <c:pt idx="1">
                  <c:v>Kosten</c:v>
                </c:pt>
              </c:strCache>
            </c:strRef>
          </c:cat>
          <c:val>
            <c:numRef>
              <c:f>Input!$B$72:$C$72</c:f>
              <c:numCache>
                <c:formatCode>General</c:formatCode>
                <c:ptCount val="2"/>
                <c:pt idx="0">
                  <c:v>0</c:v>
                </c:pt>
                <c:pt idx="1">
                  <c:v>0</c:v>
                </c:pt>
              </c:numCache>
            </c:numRef>
          </c:val>
          <c:extLst>
            <c:ext xmlns:c16="http://schemas.microsoft.com/office/drawing/2014/chart" uri="{C3380CC4-5D6E-409C-BE32-E72D297353CC}">
              <c16:uniqueId val="{00000000-6794-4653-8B57-B08B521195D7}"/>
            </c:ext>
          </c:extLst>
        </c:ser>
        <c:ser>
          <c:idx val="1"/>
          <c:order val="1"/>
          <c:tx>
            <c:strRef>
              <c:f>Input!$A$73</c:f>
              <c:strCache>
                <c:ptCount val="1"/>
                <c:pt idx="0">
                  <c:v>Omzet</c:v>
                </c:pt>
              </c:strCache>
            </c:strRef>
          </c:tx>
          <c:spPr>
            <a:solidFill>
              <a:srgbClr val="45555F"/>
            </a:solidFill>
          </c:spPr>
          <c:invertIfNegative val="0"/>
          <c:dLbls>
            <c:delete val="1"/>
          </c:dLbls>
          <c:cat>
            <c:strRef>
              <c:f>Input!$B$72:$C$72</c:f>
              <c:strCache>
                <c:ptCount val="2"/>
                <c:pt idx="0">
                  <c:v>Omzet</c:v>
                </c:pt>
                <c:pt idx="1">
                  <c:v>Kosten</c:v>
                </c:pt>
              </c:strCache>
            </c:strRef>
          </c:cat>
          <c:val>
            <c:numRef>
              <c:f>Input!$B$73:$C$73</c:f>
              <c:numCache>
                <c:formatCode>General</c:formatCode>
                <c:ptCount val="2"/>
                <c:pt idx="0" formatCode="#,##0">
                  <c:v>3537.7358490566039</c:v>
                </c:pt>
              </c:numCache>
            </c:numRef>
          </c:val>
          <c:extLst>
            <c:ext xmlns:c16="http://schemas.microsoft.com/office/drawing/2014/chart" uri="{C3380CC4-5D6E-409C-BE32-E72D297353CC}">
              <c16:uniqueId val="{00000001-6794-4653-8B57-B08B521195D7}"/>
            </c:ext>
          </c:extLst>
        </c:ser>
        <c:ser>
          <c:idx val="2"/>
          <c:order val="2"/>
          <c:tx>
            <c:strRef>
              <c:f>Input!$A$74</c:f>
              <c:strCache>
                <c:ptCount val="1"/>
                <c:pt idx="0">
                  <c:v>Personeelskosten</c:v>
                </c:pt>
              </c:strCache>
            </c:strRef>
          </c:tx>
          <c:spPr>
            <a:solidFill>
              <a:srgbClr val="A20234"/>
            </a:solidFill>
          </c:spPr>
          <c:invertIfNegative val="0"/>
          <c:dLbls>
            <c:delete val="1"/>
          </c:dLbls>
          <c:cat>
            <c:strRef>
              <c:f>Input!$B$72:$C$72</c:f>
              <c:strCache>
                <c:ptCount val="2"/>
                <c:pt idx="0">
                  <c:v>Omzet</c:v>
                </c:pt>
                <c:pt idx="1">
                  <c:v>Kosten</c:v>
                </c:pt>
              </c:strCache>
            </c:strRef>
          </c:cat>
          <c:val>
            <c:numRef>
              <c:f>Input!$B$74:$C$74</c:f>
              <c:numCache>
                <c:formatCode>#,##0</c:formatCode>
                <c:ptCount val="2"/>
                <c:pt idx="1">
                  <c:v>1323</c:v>
                </c:pt>
              </c:numCache>
            </c:numRef>
          </c:val>
          <c:extLst>
            <c:ext xmlns:c16="http://schemas.microsoft.com/office/drawing/2014/chart" uri="{C3380CC4-5D6E-409C-BE32-E72D297353CC}">
              <c16:uniqueId val="{00000002-6794-4653-8B57-B08B521195D7}"/>
            </c:ext>
          </c:extLst>
        </c:ser>
        <c:ser>
          <c:idx val="3"/>
          <c:order val="3"/>
          <c:tx>
            <c:strRef>
              <c:f>Input!$A$75</c:f>
              <c:strCache>
                <c:ptCount val="1"/>
                <c:pt idx="0">
                  <c:v>Kosten onderhoud en beheer</c:v>
                </c:pt>
              </c:strCache>
            </c:strRef>
          </c:tx>
          <c:spPr>
            <a:solidFill>
              <a:srgbClr val="DF0347"/>
            </a:solidFill>
          </c:spPr>
          <c:invertIfNegative val="0"/>
          <c:dLbls>
            <c:delete val="1"/>
          </c:dLbls>
          <c:cat>
            <c:strRef>
              <c:f>Input!$B$72:$C$72</c:f>
              <c:strCache>
                <c:ptCount val="2"/>
                <c:pt idx="0">
                  <c:v>Omzet</c:v>
                </c:pt>
                <c:pt idx="1">
                  <c:v>Kosten</c:v>
                </c:pt>
              </c:strCache>
            </c:strRef>
          </c:cat>
          <c:val>
            <c:numRef>
              <c:f>Input!$B$75:$C$75</c:f>
              <c:numCache>
                <c:formatCode>#,##0</c:formatCode>
                <c:ptCount val="2"/>
                <c:pt idx="1">
                  <c:v>1400</c:v>
                </c:pt>
              </c:numCache>
            </c:numRef>
          </c:val>
          <c:extLst>
            <c:ext xmlns:c16="http://schemas.microsoft.com/office/drawing/2014/chart" uri="{C3380CC4-5D6E-409C-BE32-E72D297353CC}">
              <c16:uniqueId val="{00000003-6794-4653-8B57-B08B521195D7}"/>
            </c:ext>
          </c:extLst>
        </c:ser>
        <c:ser>
          <c:idx val="4"/>
          <c:order val="4"/>
          <c:tx>
            <c:strRef>
              <c:f>Input!$A$76</c:f>
              <c:strCache>
                <c:ptCount val="1"/>
                <c:pt idx="0">
                  <c:v>Afschrijvingen</c:v>
                </c:pt>
              </c:strCache>
            </c:strRef>
          </c:tx>
          <c:spPr>
            <a:solidFill>
              <a:srgbClr val="FD3976"/>
            </a:solidFill>
          </c:spPr>
          <c:invertIfNegative val="0"/>
          <c:dLbls>
            <c:delete val="1"/>
          </c:dLbls>
          <c:cat>
            <c:strRef>
              <c:f>Input!$B$72:$C$72</c:f>
              <c:strCache>
                <c:ptCount val="2"/>
                <c:pt idx="0">
                  <c:v>Omzet</c:v>
                </c:pt>
                <c:pt idx="1">
                  <c:v>Kosten</c:v>
                </c:pt>
              </c:strCache>
            </c:strRef>
          </c:cat>
          <c:val>
            <c:numRef>
              <c:f>Input!$B$76:$C$76</c:f>
              <c:numCache>
                <c:formatCode>_ "€"\ * #,##0_ ;_ "€"\ * \-#,##0_ ;_ "€"\ * "-"_ ;_ @_ </c:formatCode>
                <c:ptCount val="2"/>
                <c:pt idx="1">
                  <c:v>478.75</c:v>
                </c:pt>
              </c:numCache>
            </c:numRef>
          </c:val>
          <c:extLst>
            <c:ext xmlns:c16="http://schemas.microsoft.com/office/drawing/2014/chart" uri="{C3380CC4-5D6E-409C-BE32-E72D297353CC}">
              <c16:uniqueId val="{00000004-6794-4653-8B57-B08B521195D7}"/>
            </c:ext>
          </c:extLst>
        </c:ser>
        <c:ser>
          <c:idx val="5"/>
          <c:order val="5"/>
          <c:tx>
            <c:strRef>
              <c:f>Input!$A$77</c:f>
              <c:strCache>
                <c:ptCount val="1"/>
                <c:pt idx="0">
                  <c:v>Rente</c:v>
                </c:pt>
              </c:strCache>
            </c:strRef>
          </c:tx>
          <c:spPr>
            <a:solidFill>
              <a:srgbClr val="FEACC5"/>
            </a:solidFill>
          </c:spPr>
          <c:invertIfNegative val="0"/>
          <c:dLbls>
            <c:delete val="1"/>
          </c:dLbls>
          <c:cat>
            <c:strRef>
              <c:f>Input!$B$72:$C$72</c:f>
              <c:strCache>
                <c:ptCount val="2"/>
                <c:pt idx="0">
                  <c:v>Omzet</c:v>
                </c:pt>
                <c:pt idx="1">
                  <c:v>Kosten</c:v>
                </c:pt>
              </c:strCache>
            </c:strRef>
          </c:cat>
          <c:val>
            <c:numRef>
              <c:f>Input!$B$77:$C$77</c:f>
              <c:numCache>
                <c:formatCode>_ "€"\ * #,##0_ ;_ "€"\ * \-#,##0_ ;_ "€"\ * "-"_ ;_ @_ </c:formatCode>
                <c:ptCount val="2"/>
                <c:pt idx="1">
                  <c:v>179</c:v>
                </c:pt>
              </c:numCache>
            </c:numRef>
          </c:val>
          <c:extLst>
            <c:ext xmlns:c16="http://schemas.microsoft.com/office/drawing/2014/chart" uri="{C3380CC4-5D6E-409C-BE32-E72D297353CC}">
              <c16:uniqueId val="{00000005-6794-4653-8B57-B08B521195D7}"/>
            </c:ext>
          </c:extLst>
        </c:ser>
        <c:ser>
          <c:idx val="6"/>
          <c:order val="6"/>
          <c:tx>
            <c:strRef>
              <c:f>Input!$A$78</c:f>
              <c:strCache>
                <c:ptCount val="1"/>
              </c:strCache>
            </c:strRef>
          </c:tx>
          <c:spPr>
            <a:solidFill>
              <a:srgbClr val="CC0000"/>
            </a:solidFill>
          </c:spPr>
          <c:invertIfNegative val="0"/>
          <c:dLbls>
            <c:dLbl>
              <c:idx val="0"/>
              <c:spPr>
                <a:noFill/>
              </c:spPr>
              <c:txPr>
                <a:bodyPr/>
                <a:lstStyle/>
                <a:p>
                  <a:pPr>
                    <a:defRPr>
                      <a:solidFill>
                        <a:schemeClr val="bg1"/>
                      </a:solidFill>
                    </a:defRPr>
                  </a:pPr>
                  <a:endParaRPr lang="nl-BE"/>
                </a:p>
              </c:txPr>
              <c:showLegendKey val="0"/>
              <c:showVal val="0"/>
              <c:showCatName val="0"/>
              <c:showSerName val="1"/>
              <c:showPercent val="0"/>
              <c:showBubbleSize val="0"/>
              <c:extLst>
                <c:ext xmlns:c16="http://schemas.microsoft.com/office/drawing/2014/chart" uri="{C3380CC4-5D6E-409C-BE32-E72D297353CC}">
                  <c16:uniqueId val="{00000000-A9DA-41CC-BE58-BB4D58BCED51}"/>
                </c:ext>
              </c:extLst>
            </c:dLbl>
            <c:spPr>
              <a:noFill/>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Input!$B$72:$C$72</c:f>
              <c:strCache>
                <c:ptCount val="2"/>
                <c:pt idx="0">
                  <c:v>Omzet</c:v>
                </c:pt>
                <c:pt idx="1">
                  <c:v>Kosten</c:v>
                </c:pt>
              </c:strCache>
            </c:strRef>
          </c:cat>
          <c:val>
            <c:numRef>
              <c:f>Input!$B$78:$C$78</c:f>
              <c:numCache>
                <c:formatCode>General</c:formatCode>
                <c:ptCount val="2"/>
                <c:pt idx="0" formatCode="0">
                  <c:v>0</c:v>
                </c:pt>
              </c:numCache>
            </c:numRef>
          </c:val>
          <c:extLst>
            <c:ext xmlns:c16="http://schemas.microsoft.com/office/drawing/2014/chart" uri="{C3380CC4-5D6E-409C-BE32-E72D297353CC}">
              <c16:uniqueId val="{00000007-6794-4653-8B57-B08B521195D7}"/>
            </c:ext>
          </c:extLst>
        </c:ser>
        <c:ser>
          <c:idx val="7"/>
          <c:order val="7"/>
          <c:tx>
            <c:strRef>
              <c:f>Input!$A$79</c:f>
              <c:strCache>
                <c:ptCount val="1"/>
                <c:pt idx="0">
                  <c:v>Winst</c:v>
                </c:pt>
              </c:strCache>
            </c:strRef>
          </c:tx>
          <c:spPr>
            <a:solidFill>
              <a:srgbClr val="00B050"/>
            </a:solidFill>
          </c:spPr>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Input!$B$72:$C$72</c:f>
              <c:strCache>
                <c:ptCount val="2"/>
                <c:pt idx="0">
                  <c:v>Omzet</c:v>
                </c:pt>
                <c:pt idx="1">
                  <c:v>Kosten</c:v>
                </c:pt>
              </c:strCache>
            </c:strRef>
          </c:cat>
          <c:val>
            <c:numRef>
              <c:f>Input!$B$79:$C$79</c:f>
              <c:numCache>
                <c:formatCode>0</c:formatCode>
                <c:ptCount val="2"/>
                <c:pt idx="1">
                  <c:v>156.98584905660391</c:v>
                </c:pt>
              </c:numCache>
            </c:numRef>
          </c:val>
          <c:extLst>
            <c:ext xmlns:c16="http://schemas.microsoft.com/office/drawing/2014/chart" uri="{C3380CC4-5D6E-409C-BE32-E72D297353CC}">
              <c16:uniqueId val="{00000008-6794-4653-8B57-B08B521195D7}"/>
            </c:ext>
          </c:extLst>
        </c:ser>
        <c:dLbls>
          <c:showLegendKey val="0"/>
          <c:showVal val="1"/>
          <c:showCatName val="0"/>
          <c:showSerName val="0"/>
          <c:showPercent val="0"/>
          <c:showBubbleSize val="0"/>
        </c:dLbls>
        <c:gapWidth val="150"/>
        <c:overlap val="100"/>
        <c:axId val="337316104"/>
        <c:axId val="337316888"/>
      </c:barChart>
      <c:catAx>
        <c:axId val="337316104"/>
        <c:scaling>
          <c:orientation val="minMax"/>
        </c:scaling>
        <c:delete val="0"/>
        <c:axPos val="b"/>
        <c:numFmt formatCode="General" sourceLinked="0"/>
        <c:majorTickMark val="out"/>
        <c:minorTickMark val="none"/>
        <c:tickLblPos val="nextTo"/>
        <c:crossAx val="337316888"/>
        <c:crossesAt val="0"/>
        <c:auto val="1"/>
        <c:lblAlgn val="ctr"/>
        <c:lblOffset val="100"/>
        <c:noMultiLvlLbl val="0"/>
      </c:catAx>
      <c:valAx>
        <c:axId val="337316888"/>
        <c:scaling>
          <c:orientation val="minMax"/>
        </c:scaling>
        <c:delete val="0"/>
        <c:axPos val="l"/>
        <c:majorGridlines/>
        <c:numFmt formatCode="#,##0" sourceLinked="0"/>
        <c:majorTickMark val="out"/>
        <c:minorTickMark val="none"/>
        <c:tickLblPos val="nextTo"/>
        <c:crossAx val="337316104"/>
        <c:crosses val="autoZero"/>
        <c:crossBetween val="between"/>
      </c:valAx>
    </c:plotArea>
    <c:legend>
      <c:legendPos val="l"/>
      <c:legendEntry>
        <c:idx val="0"/>
        <c:delete val="1"/>
      </c:legendEntry>
      <c:legendEntry>
        <c:idx val="1"/>
        <c:delete val="1"/>
      </c:legendEntry>
      <c:legendEntry>
        <c:idx val="6"/>
        <c:delete val="1"/>
      </c:legendEntry>
      <c:legendEntry>
        <c:idx val="7"/>
        <c:delete val="1"/>
      </c:legendEntry>
      <c:layout>
        <c:manualLayout>
          <c:xMode val="edge"/>
          <c:yMode val="edge"/>
          <c:x val="1.509433962264151E-2"/>
          <c:y val="0.23046455694939275"/>
          <c:w val="0.26792452830188679"/>
          <c:h val="0.46302485953514366"/>
        </c:manualLayout>
      </c:layout>
      <c:overlay val="0"/>
    </c:legend>
    <c:plotVisOnly val="1"/>
    <c:dispBlanksAs val="gap"/>
    <c:showDLblsOverMax val="0"/>
  </c:chart>
  <c:spPr>
    <a:ln>
      <a:solidFill>
        <a:schemeClr val="bg2"/>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Radio" checked="Checked" firstButton="1" fmlaLink="Input!$B$2"/>
</file>

<file path=xl/ctrlProps/ctrlProp10.xml><?xml version="1.0" encoding="utf-8"?>
<formControlPr xmlns="http://schemas.microsoft.com/office/spreadsheetml/2009/9/main" objectType="CheckBox" fmlaLink="Input!$B$7" lockText="1"/>
</file>

<file path=xl/ctrlProps/ctrlProp11.xml><?xml version="1.0" encoding="utf-8"?>
<formControlPr xmlns="http://schemas.microsoft.com/office/spreadsheetml/2009/9/main" objectType="CheckBox" fmlaLink="Input!$B$6" lockText="1"/>
</file>

<file path=xl/ctrlProps/ctrlProp2.xml><?xml version="1.0" encoding="utf-8"?>
<formControlPr xmlns="http://schemas.microsoft.com/office/spreadsheetml/2009/9/main" objectType="Radio"/>
</file>

<file path=xl/ctrlProps/ctrlProp3.xml><?xml version="1.0" encoding="utf-8"?>
<formControlPr xmlns="http://schemas.microsoft.com/office/spreadsheetml/2009/9/main" objectType="Radio"/>
</file>

<file path=xl/ctrlProps/ctrlProp4.xml><?xml version="1.0" encoding="utf-8"?>
<formControlPr xmlns="http://schemas.microsoft.com/office/spreadsheetml/2009/9/main" objectType="CheckBox" fmlaLink="Input!$B$8" lockText="1"/>
</file>

<file path=xl/ctrlProps/ctrlProp5.xml><?xml version="1.0" encoding="utf-8"?>
<formControlPr xmlns="http://schemas.microsoft.com/office/spreadsheetml/2009/9/main" objectType="CheckBox" fmlaLink="Input!$B$9" lockText="1"/>
</file>

<file path=xl/ctrlProps/ctrlProp6.xml><?xml version="1.0" encoding="utf-8"?>
<formControlPr xmlns="http://schemas.microsoft.com/office/spreadsheetml/2009/9/main" objectType="CheckBox" fmlaLink="Input!$B$10" lockText="1"/>
</file>

<file path=xl/ctrlProps/ctrlProp7.xml><?xml version="1.0" encoding="utf-8"?>
<formControlPr xmlns="http://schemas.microsoft.com/office/spreadsheetml/2009/9/main" objectType="Drop" dropLines="3" dropStyle="combo" dx="16" fmlaLink="Input!$B$14" fmlaRange="Input!$C$13:$C$15" sel="1" val="0"/>
</file>

<file path=xl/ctrlProps/ctrlProp8.xml><?xml version="1.0" encoding="utf-8"?>
<formControlPr xmlns="http://schemas.microsoft.com/office/spreadsheetml/2009/9/main" objectType="CheckBox" fmlaLink="Input!$B$11" lockText="1"/>
</file>

<file path=xl/ctrlProps/ctrlProp9.xml><?xml version="1.0" encoding="utf-8"?>
<formControlPr xmlns="http://schemas.microsoft.com/office/spreadsheetml/2009/9/main" objectType="CheckBox" fmlaLink="Input!$B$12"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2.jpg"/><Relationship Id="rId13" Type="http://schemas.openxmlformats.org/officeDocument/2006/relationships/image" Target="../media/image17.jpeg"/><Relationship Id="rId3" Type="http://schemas.openxmlformats.org/officeDocument/2006/relationships/image" Target="../media/image9.jpeg"/><Relationship Id="rId7" Type="http://schemas.openxmlformats.org/officeDocument/2006/relationships/image" Target="../media/image1.png"/><Relationship Id="rId12" Type="http://schemas.openxmlformats.org/officeDocument/2006/relationships/image" Target="../media/image16.jpeg"/><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jpeg"/><Relationship Id="rId11" Type="http://schemas.openxmlformats.org/officeDocument/2006/relationships/image" Target="../media/image15.png"/><Relationship Id="rId5" Type="http://schemas.openxmlformats.org/officeDocument/2006/relationships/image" Target="../media/image11.png"/><Relationship Id="rId10" Type="http://schemas.openxmlformats.org/officeDocument/2006/relationships/image" Target="../media/image14.jpeg"/><Relationship Id="rId4" Type="http://schemas.openxmlformats.org/officeDocument/2006/relationships/image" Target="../media/image10.png"/><Relationship Id="rId9" Type="http://schemas.openxmlformats.org/officeDocument/2006/relationships/image" Target="../media/image13.jpeg"/><Relationship Id="rId14"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9</xdr:col>
      <xdr:colOff>38100</xdr:colOff>
      <xdr:row>21</xdr:row>
      <xdr:rowOff>44827</xdr:rowOff>
    </xdr:from>
    <xdr:to>
      <xdr:col>11</xdr:col>
      <xdr:colOff>599361</xdr:colOff>
      <xdr:row>23</xdr:row>
      <xdr:rowOff>177329</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0" y="4092952"/>
          <a:ext cx="1780461" cy="513502"/>
        </a:xfrm>
        <a:prstGeom prst="rect">
          <a:avLst/>
        </a:prstGeom>
      </xdr:spPr>
    </xdr:pic>
    <xdr:clientData/>
  </xdr:twoCellAnchor>
  <xdr:twoCellAnchor editAs="oneCell">
    <xdr:from>
      <xdr:col>1</xdr:col>
      <xdr:colOff>95249</xdr:colOff>
      <xdr:row>21</xdr:row>
      <xdr:rowOff>67743</xdr:rowOff>
    </xdr:from>
    <xdr:to>
      <xdr:col>3</xdr:col>
      <xdr:colOff>600074</xdr:colOff>
      <xdr:row>24</xdr:row>
      <xdr:rowOff>28574</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4849" y="3734868"/>
          <a:ext cx="1724025" cy="532331"/>
        </a:xfrm>
        <a:prstGeom prst="rect">
          <a:avLst/>
        </a:prstGeom>
      </xdr:spPr>
    </xdr:pic>
    <xdr:clientData/>
  </xdr:twoCellAnchor>
  <xdr:twoCellAnchor editAs="oneCell">
    <xdr:from>
      <xdr:col>1</xdr:col>
      <xdr:colOff>257175</xdr:colOff>
      <xdr:row>14</xdr:row>
      <xdr:rowOff>114300</xdr:rowOff>
    </xdr:from>
    <xdr:to>
      <xdr:col>5</xdr:col>
      <xdr:colOff>418775</xdr:colOff>
      <xdr:row>16</xdr:row>
      <xdr:rowOff>180919</xdr:rowOff>
    </xdr:to>
    <xdr:pic>
      <xdr:nvPicPr>
        <xdr:cNvPr id="8" name="Afbeelding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866775" y="2447925"/>
          <a:ext cx="2600000" cy="447619"/>
        </a:xfrm>
        <a:prstGeom prst="rect">
          <a:avLst/>
        </a:prstGeom>
      </xdr:spPr>
    </xdr:pic>
    <xdr:clientData/>
  </xdr:twoCellAnchor>
  <xdr:twoCellAnchor editAs="oneCell">
    <xdr:from>
      <xdr:col>9</xdr:col>
      <xdr:colOff>438150</xdr:colOff>
      <xdr:row>1</xdr:row>
      <xdr:rowOff>147270</xdr:rowOff>
    </xdr:from>
    <xdr:to>
      <xdr:col>12</xdr:col>
      <xdr:colOff>161925</xdr:colOff>
      <xdr:row>5</xdr:row>
      <xdr:rowOff>44489</xdr:rowOff>
    </xdr:to>
    <xdr:pic>
      <xdr:nvPicPr>
        <xdr:cNvPr id="9" name="Afbeelding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11362" y="337770"/>
          <a:ext cx="1548178" cy="659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312420</xdr:colOff>
          <xdr:row>2</xdr:row>
          <xdr:rowOff>182880</xdr:rowOff>
        </xdr:from>
        <xdr:to>
          <xdr:col>5</xdr:col>
          <xdr:colOff>594360</xdr:colOff>
          <xdr:row>4</xdr:row>
          <xdr:rowOff>7620</xdr:rowOff>
        </xdr:to>
        <xdr:sp macro="" textlink="">
          <xdr:nvSpPr>
            <xdr:cNvPr id="2049" name="Option 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312420</xdr:colOff>
          <xdr:row>3</xdr:row>
          <xdr:rowOff>160020</xdr:rowOff>
        </xdr:from>
        <xdr:to>
          <xdr:col>5</xdr:col>
          <xdr:colOff>563880</xdr:colOff>
          <xdr:row>5</xdr:row>
          <xdr:rowOff>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312420</xdr:colOff>
          <xdr:row>5</xdr:row>
          <xdr:rowOff>0</xdr:rowOff>
        </xdr:from>
        <xdr:to>
          <xdr:col>5</xdr:col>
          <xdr:colOff>563880</xdr:colOff>
          <xdr:row>6</xdr:row>
          <xdr:rowOff>22860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11</xdr:row>
          <xdr:rowOff>0</xdr:rowOff>
        </xdr:from>
        <xdr:to>
          <xdr:col>5</xdr:col>
          <xdr:colOff>304800</xdr:colOff>
          <xdr:row>12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12</xdr:row>
          <xdr:rowOff>0</xdr:rowOff>
        </xdr:from>
        <xdr:to>
          <xdr:col>5</xdr:col>
          <xdr:colOff>304800</xdr:colOff>
          <xdr:row>13</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13</xdr:row>
          <xdr:rowOff>0</xdr:rowOff>
        </xdr:from>
        <xdr:to>
          <xdr:col>5</xdr:col>
          <xdr:colOff>304800</xdr:colOff>
          <xdr:row>14</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48596</xdr:colOff>
      <xdr:row>18</xdr:row>
      <xdr:rowOff>77754</xdr:rowOff>
    </xdr:from>
    <xdr:to>
      <xdr:col>8</xdr:col>
      <xdr:colOff>408214</xdr:colOff>
      <xdr:row>30</xdr:row>
      <xdr:rowOff>145790</xdr:rowOff>
    </xdr:to>
    <xdr:graphicFrame macro="">
      <xdr:nvGraphicFramePr>
        <xdr:cNvPr id="13" name="Grafiek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582634</xdr:colOff>
      <xdr:row>2</xdr:row>
      <xdr:rowOff>9525</xdr:rowOff>
    </xdr:from>
    <xdr:to>
      <xdr:col>20</xdr:col>
      <xdr:colOff>438150</xdr:colOff>
      <xdr:row>4</xdr:row>
      <xdr:rowOff>39460</xdr:rowOff>
    </xdr:to>
    <xdr:pic>
      <xdr:nvPicPr>
        <xdr:cNvPr id="19" name="Afbeelding 18" descr="westtoer Logo">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31484" y="352425"/>
          <a:ext cx="1293791" cy="372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114300</xdr:colOff>
          <xdr:row>16</xdr:row>
          <xdr:rowOff>22860</xdr:rowOff>
        </xdr:from>
        <xdr:to>
          <xdr:col>8</xdr:col>
          <xdr:colOff>228600</xdr:colOff>
          <xdr:row>17</xdr:row>
          <xdr:rowOff>99060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16</xdr:col>
      <xdr:colOff>314491</xdr:colOff>
      <xdr:row>2</xdr:row>
      <xdr:rowOff>1</xdr:rowOff>
    </xdr:from>
    <xdr:to>
      <xdr:col>17</xdr:col>
      <xdr:colOff>714375</xdr:colOff>
      <xdr:row>4</xdr:row>
      <xdr:rowOff>85725</xdr:rowOff>
    </xdr:to>
    <xdr:pic>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291" y="342901"/>
          <a:ext cx="1009484" cy="42862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106680</xdr:colOff>
          <xdr:row>14</xdr:row>
          <xdr:rowOff>0</xdr:rowOff>
        </xdr:from>
        <xdr:to>
          <xdr:col>5</xdr:col>
          <xdr:colOff>304800</xdr:colOff>
          <xdr:row>14</xdr:row>
          <xdr:rowOff>190500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15</xdr:row>
          <xdr:rowOff>0</xdr:rowOff>
        </xdr:from>
        <xdr:to>
          <xdr:col>5</xdr:col>
          <xdr:colOff>304800</xdr:colOff>
          <xdr:row>16</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10</xdr:row>
          <xdr:rowOff>0</xdr:rowOff>
        </xdr:from>
        <xdr:to>
          <xdr:col>5</xdr:col>
          <xdr:colOff>304800</xdr:colOff>
          <xdr:row>11</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9</xdr:row>
          <xdr:rowOff>0</xdr:rowOff>
        </xdr:from>
        <xdr:to>
          <xdr:col>5</xdr:col>
          <xdr:colOff>304800</xdr:colOff>
          <xdr:row>10</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9</xdr:col>
      <xdr:colOff>40106</xdr:colOff>
      <xdr:row>46</xdr:row>
      <xdr:rowOff>29076</xdr:rowOff>
    </xdr:from>
    <xdr:to>
      <xdr:col>10</xdr:col>
      <xdr:colOff>470233</xdr:colOff>
      <xdr:row>52</xdr:row>
      <xdr:rowOff>41107</xdr:rowOff>
    </xdr:to>
    <xdr:pic>
      <xdr:nvPicPr>
        <xdr:cNvPr id="3" name="Afbeelding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23974" y="8586537"/>
          <a:ext cx="1041733" cy="1155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536924</xdr:colOff>
      <xdr:row>46</xdr:row>
      <xdr:rowOff>34088</xdr:rowOff>
    </xdr:from>
    <xdr:to>
      <xdr:col>12</xdr:col>
      <xdr:colOff>115302</xdr:colOff>
      <xdr:row>52</xdr:row>
      <xdr:rowOff>46066</xdr:rowOff>
    </xdr:to>
    <xdr:pic>
      <xdr:nvPicPr>
        <xdr:cNvPr id="4" name="Afbeelding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2398" y="8591549"/>
          <a:ext cx="801588" cy="115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58563</xdr:colOff>
      <xdr:row>53</xdr:row>
      <xdr:rowOff>47625</xdr:rowOff>
    </xdr:from>
    <xdr:to>
      <xdr:col>12</xdr:col>
      <xdr:colOff>611605</xdr:colOff>
      <xdr:row>61</xdr:row>
      <xdr:rowOff>63351</xdr:rowOff>
    </xdr:to>
    <xdr:pic>
      <xdr:nvPicPr>
        <xdr:cNvPr id="5" name="Afbeelding 4" descr="http://www.mobielbouw.nl/beheer/content/projecten/full/sanitair_gebouw_camping_van_keulen_mobielbouw_0.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25888" y="9686925"/>
          <a:ext cx="2379837" cy="1587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53375</xdr:colOff>
      <xdr:row>61</xdr:row>
      <xdr:rowOff>161925</xdr:rowOff>
    </xdr:from>
    <xdr:to>
      <xdr:col>13</xdr:col>
      <xdr:colOff>19050</xdr:colOff>
      <xdr:row>69</xdr:row>
      <xdr:rowOff>58594</xdr:rowOff>
    </xdr:to>
    <xdr:pic>
      <xdr:nvPicPr>
        <xdr:cNvPr id="6" name="Afbeelding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5320700" y="11372850"/>
          <a:ext cx="2404075" cy="1220644"/>
        </a:xfrm>
        <a:prstGeom prst="rect">
          <a:avLst/>
        </a:prstGeom>
      </xdr:spPr>
    </xdr:pic>
    <xdr:clientData/>
  </xdr:twoCellAnchor>
  <xdr:twoCellAnchor editAs="oneCell">
    <xdr:from>
      <xdr:col>8</xdr:col>
      <xdr:colOff>91424</xdr:colOff>
      <xdr:row>72</xdr:row>
      <xdr:rowOff>0</xdr:rowOff>
    </xdr:from>
    <xdr:to>
      <xdr:col>10</xdr:col>
      <xdr:colOff>305579</xdr:colOff>
      <xdr:row>78</xdr:row>
      <xdr:rowOff>171450</xdr:rowOff>
    </xdr:to>
    <xdr:pic>
      <xdr:nvPicPr>
        <xdr:cNvPr id="7" name="Afbeelding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4749149" y="12925425"/>
          <a:ext cx="1433355" cy="1219200"/>
        </a:xfrm>
        <a:prstGeom prst="rect">
          <a:avLst/>
        </a:prstGeom>
      </xdr:spPr>
    </xdr:pic>
    <xdr:clientData/>
  </xdr:twoCellAnchor>
  <xdr:twoCellAnchor editAs="oneCell">
    <xdr:from>
      <xdr:col>11</xdr:col>
      <xdr:colOff>253999</xdr:colOff>
      <xdr:row>71</xdr:row>
      <xdr:rowOff>71438</xdr:rowOff>
    </xdr:from>
    <xdr:to>
      <xdr:col>13</xdr:col>
      <xdr:colOff>28574</xdr:colOff>
      <xdr:row>79</xdr:row>
      <xdr:rowOff>133352</xdr:rowOff>
    </xdr:to>
    <xdr:pic>
      <xdr:nvPicPr>
        <xdr:cNvPr id="8" name="Afbeelding 7" descr="http://seijsener.com/storage/pages/boekingsautomaat.jpg">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45349" y="13225463"/>
          <a:ext cx="1089025" cy="149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2213</xdr:colOff>
      <xdr:row>132</xdr:row>
      <xdr:rowOff>95250</xdr:rowOff>
    </xdr:from>
    <xdr:to>
      <xdr:col>11</xdr:col>
      <xdr:colOff>110341</xdr:colOff>
      <xdr:row>135</xdr:row>
      <xdr:rowOff>82379</xdr:rowOff>
    </xdr:to>
    <xdr:pic>
      <xdr:nvPicPr>
        <xdr:cNvPr id="9" name="Afbeelding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77239" y="23771679"/>
          <a:ext cx="1945092" cy="570292"/>
        </a:xfrm>
        <a:prstGeom prst="rect">
          <a:avLst/>
        </a:prstGeom>
      </xdr:spPr>
    </xdr:pic>
    <xdr:clientData/>
  </xdr:twoCellAnchor>
  <xdr:twoCellAnchor editAs="oneCell">
    <xdr:from>
      <xdr:col>1</xdr:col>
      <xdr:colOff>114300</xdr:colOff>
      <xdr:row>128</xdr:row>
      <xdr:rowOff>144244</xdr:rowOff>
    </xdr:from>
    <xdr:to>
      <xdr:col>4</xdr:col>
      <xdr:colOff>409575</xdr:colOff>
      <xdr:row>132</xdr:row>
      <xdr:rowOff>38099</xdr:rowOff>
    </xdr:to>
    <xdr:pic>
      <xdr:nvPicPr>
        <xdr:cNvPr id="10" name="Afbeelding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4825" y="21023044"/>
          <a:ext cx="2124075" cy="655855"/>
        </a:xfrm>
        <a:prstGeom prst="rect">
          <a:avLst/>
        </a:prstGeom>
      </xdr:spPr>
    </xdr:pic>
    <xdr:clientData/>
  </xdr:twoCellAnchor>
  <xdr:twoCellAnchor editAs="oneCell">
    <xdr:from>
      <xdr:col>9</xdr:col>
      <xdr:colOff>495299</xdr:colOff>
      <xdr:row>15</xdr:row>
      <xdr:rowOff>26032</xdr:rowOff>
    </xdr:from>
    <xdr:to>
      <xdr:col>13</xdr:col>
      <xdr:colOff>28575</xdr:colOff>
      <xdr:row>22</xdr:row>
      <xdr:rowOff>83593</xdr:rowOff>
    </xdr:to>
    <xdr:pic>
      <xdr:nvPicPr>
        <xdr:cNvPr id="17" name="Afbeelding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62624" y="2454907"/>
          <a:ext cx="1971676" cy="1314861"/>
        </a:xfrm>
        <a:prstGeom prst="rect">
          <a:avLst/>
        </a:prstGeom>
      </xdr:spPr>
    </xdr:pic>
    <xdr:clientData/>
  </xdr:twoCellAnchor>
  <xdr:twoCellAnchor editAs="oneCell">
    <xdr:from>
      <xdr:col>9</xdr:col>
      <xdr:colOff>180975</xdr:colOff>
      <xdr:row>30</xdr:row>
      <xdr:rowOff>9771</xdr:rowOff>
    </xdr:from>
    <xdr:to>
      <xdr:col>13</xdr:col>
      <xdr:colOff>66675</xdr:colOff>
      <xdr:row>35</xdr:row>
      <xdr:rowOff>132587</xdr:rowOff>
    </xdr:to>
    <xdr:pic>
      <xdr:nvPicPr>
        <xdr:cNvPr id="19" name="Afbeelding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448300" y="5219946"/>
          <a:ext cx="2324100" cy="1075316"/>
        </a:xfrm>
        <a:prstGeom prst="rect">
          <a:avLst/>
        </a:prstGeom>
      </xdr:spPr>
    </xdr:pic>
    <xdr:clientData/>
  </xdr:twoCellAnchor>
  <xdr:twoCellAnchor editAs="oneCell">
    <xdr:from>
      <xdr:col>9</xdr:col>
      <xdr:colOff>524632</xdr:colOff>
      <xdr:row>22</xdr:row>
      <xdr:rowOff>152399</xdr:rowOff>
    </xdr:from>
    <xdr:to>
      <xdr:col>13</xdr:col>
      <xdr:colOff>47625</xdr:colOff>
      <xdr:row>29</xdr:row>
      <xdr:rowOff>137138</xdr:rowOff>
    </xdr:to>
    <xdr:pic>
      <xdr:nvPicPr>
        <xdr:cNvPr id="23" name="Afbeelding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1"/>
        <a:stretch>
          <a:fillRect/>
        </a:stretch>
      </xdr:blipFill>
      <xdr:spPr>
        <a:xfrm>
          <a:off x="5791957" y="3838574"/>
          <a:ext cx="1961393" cy="1318239"/>
        </a:xfrm>
        <a:prstGeom prst="rect">
          <a:avLst/>
        </a:prstGeom>
      </xdr:spPr>
    </xdr:pic>
    <xdr:clientData/>
  </xdr:twoCellAnchor>
  <xdr:twoCellAnchor editAs="oneCell">
    <xdr:from>
      <xdr:col>10</xdr:col>
      <xdr:colOff>323850</xdr:colOff>
      <xdr:row>71</xdr:row>
      <xdr:rowOff>76200</xdr:rowOff>
    </xdr:from>
    <xdr:to>
      <xdr:col>11</xdr:col>
      <xdr:colOff>238125</xdr:colOff>
      <xdr:row>81</xdr:row>
      <xdr:rowOff>171450</xdr:rowOff>
    </xdr:to>
    <xdr:pic>
      <xdr:nvPicPr>
        <xdr:cNvPr id="16" name="Afbeelding 15" descr="Afbeeldingsresultaat voor betaalautomaat camperplaats">
          <a:extLst>
            <a:ext uri="{FF2B5EF4-FFF2-40B4-BE49-F238E27FC236}">
              <a16:creationId xmlns:a16="http://schemas.microsoft.com/office/drawing/2014/main" id="{00000000-0008-0000-0200-000010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7921" t="13288" r="37656" b="16782"/>
        <a:stretch/>
      </xdr:blipFill>
      <xdr:spPr bwMode="auto">
        <a:xfrm>
          <a:off x="6657975" y="13230225"/>
          <a:ext cx="57150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334065</xdr:colOff>
      <xdr:row>1</xdr:row>
      <xdr:rowOff>47624</xdr:rowOff>
    </xdr:from>
    <xdr:to>
      <xdr:col>13</xdr:col>
      <xdr:colOff>142875</xdr:colOff>
      <xdr:row>4</xdr:row>
      <xdr:rowOff>161924</xdr:rowOff>
    </xdr:to>
    <xdr:pic>
      <xdr:nvPicPr>
        <xdr:cNvPr id="12" name="Afbeelding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10990" y="180974"/>
          <a:ext cx="1637610" cy="695325"/>
        </a:xfrm>
        <a:prstGeom prst="rect">
          <a:avLst/>
        </a:prstGeom>
      </xdr:spPr>
    </xdr:pic>
    <xdr:clientData/>
  </xdr:twoCellAnchor>
  <xdr:twoCellAnchor editAs="oneCell">
    <xdr:from>
      <xdr:col>12</xdr:col>
      <xdr:colOff>155510</xdr:colOff>
      <xdr:row>46</xdr:row>
      <xdr:rowOff>40648</xdr:rowOff>
    </xdr:from>
    <xdr:to>
      <xdr:col>12</xdr:col>
      <xdr:colOff>563725</xdr:colOff>
      <xdr:row>52</xdr:row>
      <xdr:rowOff>68035</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279821" y="8758939"/>
          <a:ext cx="408215" cy="1193713"/>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nkc.nl/" TargetMode="External"/><Relationship Id="rId3" Type="http://schemas.openxmlformats.org/officeDocument/2006/relationships/hyperlink" Target="http://www.facet-aa.nl/" TargetMode="External"/><Relationship Id="rId7" Type="http://schemas.openxmlformats.org/officeDocument/2006/relationships/hyperlink" Target="http://www.mobielbouw.nl/" TargetMode="External"/><Relationship Id="rId2" Type="http://schemas.openxmlformats.org/officeDocument/2006/relationships/hyperlink" Target="mailto:info@vanderreestadvies.nl" TargetMode="External"/><Relationship Id="rId1" Type="http://schemas.openxmlformats.org/officeDocument/2006/relationships/hyperlink" Target="http://www.vanderreestadvies.nl/" TargetMode="External"/><Relationship Id="rId6" Type="http://schemas.openxmlformats.org/officeDocument/2006/relationships/hyperlink" Target="http://www.wellcamp.nl/" TargetMode="External"/><Relationship Id="rId11" Type="http://schemas.openxmlformats.org/officeDocument/2006/relationships/drawing" Target="../drawings/drawing1.xml"/><Relationship Id="rId5" Type="http://schemas.openxmlformats.org/officeDocument/2006/relationships/hyperlink" Target="http://www.kompascamping.be/" TargetMode="External"/><Relationship Id="rId10" Type="http://schemas.openxmlformats.org/officeDocument/2006/relationships/printerSettings" Target="../printerSettings/printerSettings1.bin"/><Relationship Id="rId4" Type="http://schemas.openxmlformats.org/officeDocument/2006/relationships/hyperlink" Target="http://www.seijsener.com/" TargetMode="External"/><Relationship Id="rId9" Type="http://schemas.openxmlformats.org/officeDocument/2006/relationships/hyperlink" Target="http://www.westtoer.be/"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2.xml"/><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8" Type="http://schemas.openxmlformats.org/officeDocument/2006/relationships/hyperlink" Target="http://www.nkc.nl/" TargetMode="External"/><Relationship Id="rId3" Type="http://schemas.openxmlformats.org/officeDocument/2006/relationships/hyperlink" Target="http://www.facet-aa.nl/" TargetMode="External"/><Relationship Id="rId7" Type="http://schemas.openxmlformats.org/officeDocument/2006/relationships/hyperlink" Target="http://www.mobielbouw.nl/" TargetMode="External"/><Relationship Id="rId2" Type="http://schemas.openxmlformats.org/officeDocument/2006/relationships/hyperlink" Target="http://www.vanderreestadvies.nl/" TargetMode="External"/><Relationship Id="rId1" Type="http://schemas.openxmlformats.org/officeDocument/2006/relationships/hyperlink" Target="mailto:info@vanderreestadvies.nl" TargetMode="External"/><Relationship Id="rId6" Type="http://schemas.openxmlformats.org/officeDocument/2006/relationships/hyperlink" Target="http://www.wellcamp.nl/" TargetMode="External"/><Relationship Id="rId11" Type="http://schemas.openxmlformats.org/officeDocument/2006/relationships/drawing" Target="../drawings/drawing3.xml"/><Relationship Id="rId5" Type="http://schemas.openxmlformats.org/officeDocument/2006/relationships/hyperlink" Target="http://www.kompascamping.be/" TargetMode="External"/><Relationship Id="rId10" Type="http://schemas.openxmlformats.org/officeDocument/2006/relationships/printerSettings" Target="../printerSettings/printerSettings3.bin"/><Relationship Id="rId4" Type="http://schemas.openxmlformats.org/officeDocument/2006/relationships/hyperlink" Target="http://www.seijsener.com/" TargetMode="External"/><Relationship Id="rId9" Type="http://schemas.openxmlformats.org/officeDocument/2006/relationships/hyperlink" Target="http://www.westtoer.b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M36"/>
  <sheetViews>
    <sheetView showGridLines="0" showRowColHeaders="0" tabSelected="1" zoomScale="130" zoomScaleNormal="130" workbookViewId="0">
      <selection activeCell="B2" sqref="B2"/>
    </sheetView>
  </sheetViews>
  <sheetFormatPr defaultColWidth="0" defaultRowHeight="14.4" zeroHeight="1" x14ac:dyDescent="0.3"/>
  <cols>
    <col min="1" max="13" width="9.109375" style="145" customWidth="1"/>
    <col min="14" max="16384" width="9.109375" style="145" hidden="1"/>
  </cols>
  <sheetData>
    <row r="1" spans="2:12" x14ac:dyDescent="0.3"/>
    <row r="2" spans="2:12" x14ac:dyDescent="0.3">
      <c r="B2" s="144"/>
    </row>
    <row r="3" spans="2:12" x14ac:dyDescent="0.3"/>
    <row r="4" spans="2:12" x14ac:dyDescent="0.3"/>
    <row r="5" spans="2:12" x14ac:dyDescent="0.3"/>
    <row r="6" spans="2:12" ht="18" x14ac:dyDescent="0.3">
      <c r="B6" s="154" t="s">
        <v>133</v>
      </c>
    </row>
    <row r="7" spans="2:12" x14ac:dyDescent="0.3">
      <c r="B7" s="155" t="s">
        <v>206</v>
      </c>
    </row>
    <row r="8" spans="2:12" x14ac:dyDescent="0.3">
      <c r="B8" s="155" t="s">
        <v>140</v>
      </c>
    </row>
    <row r="9" spans="2:12" x14ac:dyDescent="0.3">
      <c r="B9" s="155" t="s">
        <v>207</v>
      </c>
    </row>
    <row r="10" spans="2:12" x14ac:dyDescent="0.3">
      <c r="B10" s="156" t="s">
        <v>209</v>
      </c>
      <c r="C10" s="157"/>
      <c r="D10" s="157"/>
      <c r="E10" s="157"/>
      <c r="F10" s="157"/>
      <c r="G10" s="157"/>
      <c r="H10" s="157"/>
      <c r="I10" s="157"/>
      <c r="J10" s="157"/>
      <c r="K10" s="157"/>
      <c r="L10" s="157"/>
    </row>
    <row r="11" spans="2:12" x14ac:dyDescent="0.3">
      <c r="B11" s="156" t="s">
        <v>208</v>
      </c>
      <c r="C11" s="157"/>
      <c r="D11" s="157"/>
      <c r="E11" s="157"/>
      <c r="F11" s="157"/>
      <c r="G11" s="157"/>
      <c r="H11" s="157"/>
      <c r="I11" s="157"/>
      <c r="J11" s="157"/>
      <c r="K11" s="157"/>
      <c r="L11" s="157"/>
    </row>
    <row r="12" spans="2:12" x14ac:dyDescent="0.3">
      <c r="B12" s="156" t="s">
        <v>210</v>
      </c>
      <c r="C12" s="157"/>
      <c r="D12" s="157"/>
      <c r="E12" s="157"/>
      <c r="F12" s="157"/>
      <c r="G12" s="157"/>
      <c r="H12" s="157"/>
      <c r="I12" s="157"/>
      <c r="J12" s="157"/>
      <c r="K12" s="157"/>
      <c r="L12" s="157"/>
    </row>
    <row r="13" spans="2:12" x14ac:dyDescent="0.3">
      <c r="B13" s="155"/>
    </row>
    <row r="14" spans="2:12" x14ac:dyDescent="0.3">
      <c r="B14" s="155" t="s">
        <v>139</v>
      </c>
    </row>
    <row r="15" spans="2:12" x14ac:dyDescent="0.3"/>
    <row r="16" spans="2:12" x14ac:dyDescent="0.3"/>
    <row r="17" spans="2:10" x14ac:dyDescent="0.3"/>
    <row r="18" spans="2:10" x14ac:dyDescent="0.3"/>
    <row r="19" spans="2:10" x14ac:dyDescent="0.3">
      <c r="B19" s="145" t="s">
        <v>166</v>
      </c>
    </row>
    <row r="20" spans="2:10" x14ac:dyDescent="0.3"/>
    <row r="21" spans="2:10" x14ac:dyDescent="0.3"/>
    <row r="22" spans="2:10" x14ac:dyDescent="0.3"/>
    <row r="23" spans="2:10" x14ac:dyDescent="0.3">
      <c r="G23" s="145" t="s">
        <v>179</v>
      </c>
    </row>
    <row r="24" spans="2:10" x14ac:dyDescent="0.3"/>
    <row r="25" spans="2:10" x14ac:dyDescent="0.3">
      <c r="G25" s="145" t="s">
        <v>211</v>
      </c>
      <c r="J25" s="143" t="s">
        <v>212</v>
      </c>
    </row>
    <row r="26" spans="2:10" x14ac:dyDescent="0.3">
      <c r="B26" s="145" t="s">
        <v>95</v>
      </c>
      <c r="G26" s="145" t="s">
        <v>180</v>
      </c>
      <c r="J26" s="143" t="s">
        <v>109</v>
      </c>
    </row>
    <row r="27" spans="2:10" x14ac:dyDescent="0.3">
      <c r="B27" s="145" t="s">
        <v>96</v>
      </c>
      <c r="G27" s="145" t="s">
        <v>181</v>
      </c>
      <c r="J27" s="143" t="s">
        <v>182</v>
      </c>
    </row>
    <row r="28" spans="2:10" x14ac:dyDescent="0.3">
      <c r="B28" s="145" t="s">
        <v>138</v>
      </c>
      <c r="G28" s="145" t="s">
        <v>188</v>
      </c>
      <c r="J28" s="143" t="s">
        <v>189</v>
      </c>
    </row>
    <row r="29" spans="2:10" x14ac:dyDescent="0.3">
      <c r="B29" s="145" t="s">
        <v>100</v>
      </c>
      <c r="G29" s="145" t="s">
        <v>190</v>
      </c>
      <c r="J29" s="143" t="s">
        <v>191</v>
      </c>
    </row>
    <row r="30" spans="2:10" x14ac:dyDescent="0.3">
      <c r="B30" s="145" t="s">
        <v>98</v>
      </c>
      <c r="C30" s="143" t="s">
        <v>99</v>
      </c>
      <c r="G30" s="145" t="s">
        <v>183</v>
      </c>
      <c r="J30" s="143" t="s">
        <v>184</v>
      </c>
    </row>
    <row r="31" spans="2:10" x14ac:dyDescent="0.3">
      <c r="B31" s="145" t="s">
        <v>107</v>
      </c>
      <c r="C31" s="143" t="s">
        <v>108</v>
      </c>
      <c r="G31" s="145" t="s">
        <v>192</v>
      </c>
      <c r="I31" s="153"/>
      <c r="J31" s="143" t="s">
        <v>193</v>
      </c>
    </row>
    <row r="32" spans="2:10" x14ac:dyDescent="0.3"/>
    <row r="33" spans="10:10" hidden="1" x14ac:dyDescent="0.3"/>
    <row r="34" spans="10:10" ht="15.6" hidden="1" x14ac:dyDescent="0.3">
      <c r="J34" s="158"/>
    </row>
    <row r="35" spans="10:10" hidden="1" x14ac:dyDescent="0.3"/>
    <row r="36" spans="10:10" hidden="1" x14ac:dyDescent="0.3"/>
  </sheetData>
  <sheetProtection algorithmName="SHA-512" hashValue="+JG4rUHZKjmPD6IsiveMLL0AAqAEOfpHbREV3d8FKqTAAHL9p360rtUEnN++wgZUC2pwctQJ4LGczv1BB0ydRA==" saltValue="jn8rbO47Q7y6iB4ITqjpuw==" spinCount="100000" sheet="1" objects="1" scenarios="1" selectLockedCells="1"/>
  <hyperlinks>
    <hyperlink ref="C31" r:id="rId1" xr:uid="{00000000-0004-0000-0000-000000000000}"/>
    <hyperlink ref="C30" r:id="rId2" xr:uid="{00000000-0004-0000-0000-000001000000}"/>
    <hyperlink ref="J26" r:id="rId3" xr:uid="{00000000-0004-0000-0000-000002000000}"/>
    <hyperlink ref="J27" r:id="rId4" xr:uid="{00000000-0004-0000-0000-000003000000}"/>
    <hyperlink ref="J30" r:id="rId5" xr:uid="{00000000-0004-0000-0000-000004000000}"/>
    <hyperlink ref="J28" r:id="rId6" xr:uid="{00000000-0004-0000-0000-000005000000}"/>
    <hyperlink ref="J29" r:id="rId7" xr:uid="{00000000-0004-0000-0000-000006000000}"/>
    <hyperlink ref="J31" r:id="rId8" xr:uid="{00000000-0004-0000-0000-000007000000}"/>
    <hyperlink ref="J25" r:id="rId9" xr:uid="{00000000-0004-0000-0000-000008000000}"/>
  </hyperlinks>
  <pageMargins left="0.7" right="0.7" top="0.75" bottom="0.75" header="0.3" footer="0.3"/>
  <pageSetup paperSize="9" orientation="landscape" r:id="rId10"/>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W49"/>
  <sheetViews>
    <sheetView showGridLines="0" showRowColHeaders="0" showRuler="0" zoomScaleNormal="100" workbookViewId="0">
      <selection activeCell="K21" sqref="K21"/>
    </sheetView>
  </sheetViews>
  <sheetFormatPr defaultColWidth="0" defaultRowHeight="14.4" zeroHeight="1" x14ac:dyDescent="0.3"/>
  <cols>
    <col min="1" max="1" width="2" style="15" customWidth="1"/>
    <col min="2" max="2" width="11.44140625" style="15" bestFit="1" customWidth="1"/>
    <col min="3" max="3" width="10.6640625" style="16" customWidth="1"/>
    <col min="4" max="4" width="7.44140625" style="16" customWidth="1"/>
    <col min="5" max="5" width="2.109375" style="16" customWidth="1"/>
    <col min="6" max="6" width="10" style="16" customWidth="1"/>
    <col min="7" max="7" width="12.44140625" style="16" customWidth="1"/>
    <col min="8" max="8" width="6.33203125" style="16" customWidth="1"/>
    <col min="9" max="9" width="6.44140625" style="16" customWidth="1"/>
    <col min="10" max="10" width="2" style="16" customWidth="1"/>
    <col min="11" max="11" width="14.33203125" style="16" customWidth="1"/>
    <col min="12" max="12" width="24.5546875" style="16" customWidth="1"/>
    <col min="13" max="13" width="4.5546875" style="16" customWidth="1"/>
    <col min="14" max="14" width="3.6640625" style="16" customWidth="1"/>
    <col min="15" max="15" width="4.6640625" style="16" customWidth="1"/>
    <col min="16" max="16" width="1.88671875" style="33" customWidth="1"/>
    <col min="17" max="17" width="9.109375" style="16" customWidth="1"/>
    <col min="18" max="18" width="14" style="16" customWidth="1"/>
    <col min="19" max="19" width="12.33203125" style="16" customWidth="1"/>
    <col min="20" max="20" width="9.33203125" style="16" customWidth="1"/>
    <col min="21" max="21" width="10" style="16" customWidth="1"/>
    <col min="22" max="22" width="2" style="17" customWidth="1"/>
    <col min="23" max="23" width="0.6640625" customWidth="1"/>
    <col min="24" max="16384" width="9.109375" hidden="1"/>
  </cols>
  <sheetData>
    <row r="1" spans="1:22" ht="6" customHeight="1" x14ac:dyDescent="0.3">
      <c r="A1" s="82"/>
      <c r="B1" s="83"/>
      <c r="C1" s="83"/>
      <c r="D1" s="83"/>
      <c r="E1" s="83"/>
      <c r="F1" s="83"/>
      <c r="G1" s="83"/>
      <c r="H1" s="83"/>
      <c r="I1" s="84"/>
      <c r="J1" s="105"/>
      <c r="K1" s="106"/>
      <c r="L1" s="106"/>
      <c r="M1" s="106"/>
      <c r="N1" s="106"/>
      <c r="O1" s="107"/>
      <c r="P1" s="121"/>
      <c r="Q1" s="13"/>
      <c r="R1" s="13"/>
      <c r="S1" s="13"/>
      <c r="T1" s="13"/>
      <c r="U1" s="13"/>
      <c r="V1" s="14"/>
    </row>
    <row r="2" spans="1:22" ht="21" x14ac:dyDescent="0.4">
      <c r="A2" s="85"/>
      <c r="B2" s="159" t="s">
        <v>132</v>
      </c>
      <c r="C2" s="159"/>
      <c r="D2" s="159"/>
      <c r="E2" s="86"/>
      <c r="F2" s="141" t="s">
        <v>1</v>
      </c>
      <c r="G2" s="86"/>
      <c r="H2" s="87"/>
      <c r="I2" s="88"/>
      <c r="J2" s="108"/>
      <c r="K2" s="109" t="s">
        <v>164</v>
      </c>
      <c r="L2" s="110"/>
      <c r="M2" s="110"/>
      <c r="N2" s="110"/>
      <c r="O2" s="111"/>
      <c r="P2" s="122"/>
    </row>
    <row r="3" spans="1:22" ht="9.75" customHeight="1" x14ac:dyDescent="0.3">
      <c r="A3" s="85"/>
      <c r="B3" s="87"/>
      <c r="C3" s="87"/>
      <c r="D3" s="87"/>
      <c r="E3" s="87"/>
      <c r="F3" s="87"/>
      <c r="G3" s="87"/>
      <c r="H3" s="87"/>
      <c r="I3" s="88"/>
      <c r="J3" s="108"/>
      <c r="K3" s="110"/>
      <c r="L3" s="110"/>
      <c r="M3" s="110"/>
      <c r="N3" s="110"/>
      <c r="O3" s="111"/>
      <c r="P3" s="122"/>
    </row>
    <row r="4" spans="1:22" ht="17.399999999999999" x14ac:dyDescent="0.35">
      <c r="A4" s="85"/>
      <c r="B4" s="141" t="s">
        <v>141</v>
      </c>
      <c r="C4" s="87"/>
      <c r="D4" s="87"/>
      <c r="E4" s="87"/>
      <c r="F4" s="91"/>
      <c r="G4" s="90" t="s">
        <v>2</v>
      </c>
      <c r="H4" s="87"/>
      <c r="I4" s="89"/>
      <c r="J4" s="112"/>
      <c r="K4" s="142" t="s">
        <v>26</v>
      </c>
      <c r="L4" s="152" t="s">
        <v>204</v>
      </c>
      <c r="M4" s="110"/>
      <c r="N4" s="110"/>
      <c r="O4" s="111"/>
      <c r="P4" s="122"/>
    </row>
    <row r="5" spans="1:22" x14ac:dyDescent="0.3">
      <c r="A5" s="85"/>
      <c r="B5" s="87"/>
      <c r="C5" s="87"/>
      <c r="D5" s="87"/>
      <c r="E5" s="87"/>
      <c r="F5" s="91"/>
      <c r="G5" s="90" t="s">
        <v>203</v>
      </c>
      <c r="H5" s="87"/>
      <c r="I5" s="89"/>
      <c r="J5" s="112"/>
      <c r="K5" s="113">
        <f>Investeringen!I10</f>
        <v>4325</v>
      </c>
      <c r="L5" s="114" t="str">
        <f>Investeringen!A5</f>
        <v>Aanleg elektra</v>
      </c>
      <c r="M5" s="114"/>
      <c r="N5" s="114"/>
      <c r="O5" s="111"/>
      <c r="P5" s="122"/>
    </row>
    <row r="6" spans="1:22" x14ac:dyDescent="0.3">
      <c r="A6" s="85"/>
      <c r="B6" s="1">
        <v>5</v>
      </c>
      <c r="C6" s="90" t="s">
        <v>0</v>
      </c>
      <c r="D6" s="87"/>
      <c r="E6" s="87"/>
      <c r="F6" s="91"/>
      <c r="G6" s="90" t="s">
        <v>3</v>
      </c>
      <c r="H6" s="91"/>
      <c r="I6" s="89"/>
      <c r="J6" s="112"/>
      <c r="K6" s="113">
        <f>Investeringen!I16</f>
        <v>1500</v>
      </c>
      <c r="L6" s="114" t="str">
        <f>Investeringen!A12</f>
        <v>Verharding op de standplaats</v>
      </c>
      <c r="M6" s="114"/>
      <c r="N6" s="114"/>
      <c r="O6" s="111"/>
      <c r="P6" s="122"/>
      <c r="Q6" s="123"/>
      <c r="R6" s="123"/>
      <c r="T6" s="124" t="s">
        <v>69</v>
      </c>
      <c r="U6" s="124" t="s">
        <v>70</v>
      </c>
    </row>
    <row r="7" spans="1:22" x14ac:dyDescent="0.3">
      <c r="A7" s="85"/>
      <c r="B7" s="87" t="s">
        <v>84</v>
      </c>
      <c r="C7" s="87"/>
      <c r="D7" s="87"/>
      <c r="E7" s="87"/>
      <c r="F7" s="92"/>
      <c r="G7" s="92"/>
      <c r="H7" s="91"/>
      <c r="I7" s="89"/>
      <c r="J7" s="112"/>
      <c r="K7" s="113">
        <f>Investeringen!I19</f>
        <v>150</v>
      </c>
      <c r="L7" s="114" t="str">
        <f>Investeringen!A18</f>
        <v>Vormgeving camperplaats</v>
      </c>
      <c r="M7" s="114"/>
      <c r="N7" s="114"/>
      <c r="O7" s="111"/>
      <c r="P7" s="122"/>
      <c r="Q7" s="123"/>
      <c r="R7" s="123"/>
      <c r="S7" s="124" t="s">
        <v>116</v>
      </c>
      <c r="T7" s="124" t="s">
        <v>37</v>
      </c>
      <c r="U7" s="124" t="s">
        <v>71</v>
      </c>
    </row>
    <row r="8" spans="1:22" ht="15" customHeight="1" x14ac:dyDescent="0.35">
      <c r="A8" s="85"/>
      <c r="B8" s="87"/>
      <c r="C8" s="87"/>
      <c r="D8" s="92"/>
      <c r="E8" s="87"/>
      <c r="F8" s="141" t="s">
        <v>4</v>
      </c>
      <c r="G8" s="92"/>
      <c r="H8" s="91"/>
      <c r="I8" s="89"/>
      <c r="J8" s="112"/>
      <c r="K8" s="113">
        <f>Investeringen!I25</f>
        <v>1250</v>
      </c>
      <c r="L8" s="114" t="str">
        <f>Investeringen!A21</f>
        <v>Openbare wegen en paden</v>
      </c>
      <c r="M8" s="114"/>
      <c r="N8" s="114"/>
      <c r="O8" s="111"/>
      <c r="P8" s="122"/>
      <c r="Q8" s="123"/>
      <c r="R8" s="123"/>
      <c r="S8" s="124"/>
      <c r="T8" s="124"/>
      <c r="U8" s="124"/>
    </row>
    <row r="9" spans="1:22" ht="17.399999999999999" x14ac:dyDescent="0.35">
      <c r="A9" s="85"/>
      <c r="B9" s="141" t="s">
        <v>205</v>
      </c>
      <c r="C9" s="87"/>
      <c r="D9" s="92"/>
      <c r="E9" s="87"/>
      <c r="F9" s="92"/>
      <c r="G9" s="92"/>
      <c r="H9" s="92"/>
      <c r="I9" s="89"/>
      <c r="J9" s="112"/>
      <c r="K9" s="113">
        <f>Investeringen!I30</f>
        <v>725</v>
      </c>
      <c r="L9" s="114" t="str">
        <f>Investeringen!A27</f>
        <v>Groenvoorziening &amp; randbeplanting</v>
      </c>
      <c r="M9" s="114"/>
      <c r="N9" s="114"/>
      <c r="O9" s="111"/>
      <c r="P9" s="122"/>
      <c r="Q9" s="125" t="s">
        <v>37</v>
      </c>
      <c r="R9" s="125"/>
      <c r="S9" s="126">
        <f>(B11/(1+Input!B18))*Aantalplaatsen*B16</f>
        <v>3537.7358490566039</v>
      </c>
      <c r="T9" s="127">
        <f>S9/$S$9</f>
        <v>1</v>
      </c>
      <c r="U9" s="126">
        <f>S9/Aantalplaatsen</f>
        <v>707.54716981132083</v>
      </c>
    </row>
    <row r="10" spans="1:22" ht="15" customHeight="1" x14ac:dyDescent="0.3">
      <c r="A10" s="85"/>
      <c r="B10" s="92"/>
      <c r="C10" s="92"/>
      <c r="D10" s="92"/>
      <c r="E10" s="87"/>
      <c r="F10" s="92"/>
      <c r="G10" s="90" t="s">
        <v>149</v>
      </c>
      <c r="H10" s="87"/>
      <c r="I10" s="89"/>
      <c r="J10" s="112"/>
      <c r="K10" s="113">
        <f>Investeringen!I35</f>
        <v>1000</v>
      </c>
      <c r="L10" s="114" t="str">
        <f>Investeringen!A32</f>
        <v>Verlichting</v>
      </c>
      <c r="M10" s="114"/>
      <c r="N10" s="114"/>
      <c r="O10" s="111"/>
      <c r="P10" s="122"/>
      <c r="Q10" s="123"/>
      <c r="R10" s="123"/>
      <c r="S10" s="123"/>
      <c r="T10" s="128"/>
      <c r="U10" s="129"/>
    </row>
    <row r="11" spans="1:22" x14ac:dyDescent="0.3">
      <c r="A11" s="85"/>
      <c r="B11" s="11">
        <v>12.5</v>
      </c>
      <c r="C11" s="90" t="s">
        <v>6</v>
      </c>
      <c r="D11" s="92" t="s">
        <v>84</v>
      </c>
      <c r="E11" s="87"/>
      <c r="F11" s="87"/>
      <c r="G11" s="90" t="s">
        <v>171</v>
      </c>
      <c r="H11" s="87"/>
      <c r="I11" s="89"/>
      <c r="J11" s="112"/>
      <c r="K11" s="116">
        <f>SUM(K5:K10)</f>
        <v>8950</v>
      </c>
      <c r="L11" s="117" t="s">
        <v>110</v>
      </c>
      <c r="M11" s="117"/>
      <c r="N11" s="117"/>
      <c r="O11" s="111"/>
      <c r="P11" s="122"/>
      <c r="Q11" s="123" t="s">
        <v>50</v>
      </c>
      <c r="R11" s="123"/>
      <c r="S11" s="129">
        <f>Aantalplaatsen*Input!B34+(Aantal_overnachtingen*Input!B49)</f>
        <v>1323</v>
      </c>
      <c r="T11" s="128">
        <f>S11/$S$9</f>
        <v>0.37396799999999997</v>
      </c>
      <c r="U11" s="129">
        <f>S11/Aantalplaatsen</f>
        <v>264.60000000000002</v>
      </c>
    </row>
    <row r="12" spans="1:22" ht="15" customHeight="1" x14ac:dyDescent="0.3">
      <c r="A12" s="93"/>
      <c r="B12" s="92"/>
      <c r="C12" s="87"/>
      <c r="D12" s="92"/>
      <c r="E12" s="91"/>
      <c r="F12" s="91"/>
      <c r="G12" s="90" t="s">
        <v>7</v>
      </c>
      <c r="H12" s="87"/>
      <c r="I12" s="94"/>
      <c r="J12" s="115"/>
      <c r="K12" s="118"/>
      <c r="L12" s="110"/>
      <c r="M12" s="110"/>
      <c r="N12" s="110"/>
      <c r="O12" s="111"/>
      <c r="P12" s="122"/>
      <c r="Q12" s="123" t="s">
        <v>51</v>
      </c>
      <c r="R12" s="123"/>
      <c r="S12" s="129">
        <f>Aantalplaatsen*Input!B68</f>
        <v>1400</v>
      </c>
      <c r="T12" s="128">
        <f>S12/$S$9</f>
        <v>0.39573333333333333</v>
      </c>
      <c r="U12" s="129">
        <f>S12/Aantalplaatsen</f>
        <v>280</v>
      </c>
    </row>
    <row r="13" spans="1:22" ht="15" customHeight="1" x14ac:dyDescent="0.3">
      <c r="A13" s="85"/>
      <c r="B13" s="92"/>
      <c r="C13" s="92"/>
      <c r="D13" s="91"/>
      <c r="E13" s="91"/>
      <c r="F13" s="91"/>
      <c r="G13" s="90" t="s">
        <v>131</v>
      </c>
      <c r="H13" s="87"/>
      <c r="I13" s="88"/>
      <c r="J13" s="108"/>
      <c r="K13" s="113">
        <f>Investeringen!I40</f>
        <v>0</v>
      </c>
      <c r="L13" s="114" t="str">
        <f>Investeringen!A40</f>
        <v>Servicestation</v>
      </c>
      <c r="M13" s="114"/>
      <c r="N13" s="114"/>
      <c r="O13" s="111"/>
      <c r="P13" s="122"/>
      <c r="Q13" s="125" t="s">
        <v>52</v>
      </c>
      <c r="R13" s="125"/>
      <c r="S13" s="126">
        <f>S11+S12</f>
        <v>2723</v>
      </c>
      <c r="T13" s="127">
        <f>S13/$S$9</f>
        <v>0.76970133333333335</v>
      </c>
      <c r="U13" s="126">
        <f>S13/Aantalplaatsen</f>
        <v>544.6</v>
      </c>
    </row>
    <row r="14" spans="1:22" ht="15" customHeight="1" x14ac:dyDescent="0.35">
      <c r="A14" s="85"/>
      <c r="B14" s="141" t="s">
        <v>76</v>
      </c>
      <c r="C14" s="87"/>
      <c r="D14" s="87"/>
      <c r="E14" s="87"/>
      <c r="F14" s="91"/>
      <c r="G14" s="90" t="s">
        <v>8</v>
      </c>
      <c r="H14" s="87"/>
      <c r="I14" s="88"/>
      <c r="J14" s="108"/>
      <c r="K14" s="113">
        <f>Investeringen!I41</f>
        <v>0</v>
      </c>
      <c r="L14" s="114" t="str">
        <f>Investeringen!A41</f>
        <v>Sanistation + afvalbakken</v>
      </c>
      <c r="M14" s="114"/>
      <c r="N14" s="114"/>
      <c r="O14" s="111"/>
      <c r="P14" s="122"/>
      <c r="Q14" s="123"/>
      <c r="R14" s="123"/>
      <c r="S14" s="130"/>
      <c r="T14" s="128"/>
      <c r="U14" s="129"/>
    </row>
    <row r="15" spans="1:22" ht="15.6" x14ac:dyDescent="0.3">
      <c r="A15" s="85"/>
      <c r="B15" s="87"/>
      <c r="C15" s="87"/>
      <c r="D15" s="87"/>
      <c r="E15" s="87"/>
      <c r="F15" s="91"/>
      <c r="G15" s="90" t="s">
        <v>163</v>
      </c>
      <c r="H15" s="87"/>
      <c r="I15" s="88"/>
      <c r="J15" s="108"/>
      <c r="K15" s="113">
        <f>Investeringen!I42</f>
        <v>0</v>
      </c>
      <c r="L15" s="114" t="str">
        <f>G12</f>
        <v>Sanitaire voorzieningen</v>
      </c>
      <c r="M15" s="114"/>
      <c r="N15" s="114"/>
      <c r="O15" s="111"/>
      <c r="P15" s="122"/>
      <c r="Q15" s="125" t="s">
        <v>54</v>
      </c>
      <c r="R15" s="125"/>
      <c r="S15" s="126">
        <f>S9-S13</f>
        <v>814.73584905660391</v>
      </c>
      <c r="T15" s="127">
        <f>S15/$S$9</f>
        <v>0.23029866666666671</v>
      </c>
      <c r="U15" s="126">
        <f>S15/Aantalplaatsen</f>
        <v>162.94716981132078</v>
      </c>
    </row>
    <row r="16" spans="1:22" x14ac:dyDescent="0.3">
      <c r="A16" s="85"/>
      <c r="B16" s="1">
        <v>60</v>
      </c>
      <c r="C16" s="90" t="s">
        <v>123</v>
      </c>
      <c r="D16" s="87"/>
      <c r="E16" s="87"/>
      <c r="F16" s="87"/>
      <c r="G16" s="90" t="s">
        <v>174</v>
      </c>
      <c r="H16" s="87"/>
      <c r="I16" s="88"/>
      <c r="J16" s="108"/>
      <c r="K16" s="113">
        <f>Investeringen!I43</f>
        <v>0</v>
      </c>
      <c r="L16" s="114" t="str">
        <f>G13</f>
        <v>Speelvoorziening</v>
      </c>
      <c r="M16" s="114"/>
      <c r="N16" s="114"/>
      <c r="O16" s="111"/>
      <c r="P16" s="122"/>
      <c r="Q16" s="123"/>
      <c r="R16" s="123"/>
      <c r="S16" s="123"/>
      <c r="T16" s="128"/>
      <c r="U16" s="129"/>
    </row>
    <row r="17" spans="1:23" ht="15" customHeight="1" x14ac:dyDescent="0.3">
      <c r="A17" s="85"/>
      <c r="B17" s="92"/>
      <c r="C17" s="90"/>
      <c r="D17" s="87"/>
      <c r="E17" s="87"/>
      <c r="F17" s="87"/>
      <c r="G17" s="87"/>
      <c r="H17" s="91"/>
      <c r="I17" s="88"/>
      <c r="J17" s="108"/>
      <c r="K17" s="113">
        <f>Investeringen!I44</f>
        <v>0</v>
      </c>
      <c r="L17" s="114" t="str">
        <f>G14</f>
        <v>Slagboom</v>
      </c>
      <c r="M17" s="114"/>
      <c r="N17" s="114"/>
      <c r="O17" s="111"/>
      <c r="P17" s="122"/>
      <c r="Q17" s="131" t="s">
        <v>53</v>
      </c>
      <c r="R17" s="123"/>
      <c r="S17" s="123"/>
      <c r="T17" s="128"/>
      <c r="U17" s="129"/>
    </row>
    <row r="18" spans="1:23" x14ac:dyDescent="0.3">
      <c r="A18" s="95"/>
      <c r="B18" s="96"/>
      <c r="C18" s="97"/>
      <c r="D18" s="97"/>
      <c r="E18" s="97"/>
      <c r="F18" s="97"/>
      <c r="G18" s="97"/>
      <c r="H18" s="97"/>
      <c r="I18" s="98"/>
      <c r="J18" s="108"/>
      <c r="K18" s="113">
        <f>Investeringen!I45</f>
        <v>0</v>
      </c>
      <c r="L18" s="114" t="str">
        <f>G15</f>
        <v>Wifi</v>
      </c>
      <c r="M18" s="114"/>
      <c r="N18" s="114"/>
      <c r="O18" s="111"/>
      <c r="P18" s="122"/>
      <c r="Q18" s="123" t="s">
        <v>38</v>
      </c>
      <c r="R18" s="123"/>
      <c r="S18" s="129">
        <f>Investeringen!K74</f>
        <v>478.75</v>
      </c>
      <c r="T18" s="128">
        <f>S18/$S$9</f>
        <v>0.13532666666666665</v>
      </c>
      <c r="U18" s="129">
        <f>S18/Aantalplaatsen</f>
        <v>95.75</v>
      </c>
    </row>
    <row r="19" spans="1:23" x14ac:dyDescent="0.3">
      <c r="A19" s="99"/>
      <c r="B19" s="100"/>
      <c r="C19" s="100"/>
      <c r="D19" s="100"/>
      <c r="E19" s="100"/>
      <c r="F19" s="100"/>
      <c r="G19" s="100"/>
      <c r="H19" s="100"/>
      <c r="I19" s="101"/>
      <c r="J19" s="108"/>
      <c r="K19" s="113">
        <f>Investeringen!I46</f>
        <v>0</v>
      </c>
      <c r="L19" s="114" t="s">
        <v>153</v>
      </c>
      <c r="M19" s="114"/>
      <c r="N19" s="114"/>
      <c r="O19" s="111"/>
      <c r="P19" s="122"/>
      <c r="Q19" s="123" t="s">
        <v>81</v>
      </c>
      <c r="R19" s="123"/>
      <c r="S19" s="129">
        <f>K30*K29/2</f>
        <v>179</v>
      </c>
      <c r="T19" s="128">
        <f>S19/$S$9</f>
        <v>5.0597333333333334E-2</v>
      </c>
      <c r="U19" s="129">
        <f>S19/Aantalplaatsen</f>
        <v>35.799999999999997</v>
      </c>
    </row>
    <row r="20" spans="1:23" ht="15" customHeight="1" x14ac:dyDescent="0.3">
      <c r="A20" s="102"/>
      <c r="B20" s="103"/>
      <c r="C20" s="103"/>
      <c r="D20" s="103"/>
      <c r="E20" s="103"/>
      <c r="F20" s="103"/>
      <c r="G20" s="103"/>
      <c r="H20" s="103"/>
      <c r="I20" s="104"/>
      <c r="J20" s="108"/>
      <c r="K20" s="113">
        <f>Investeringen!I47</f>
        <v>0</v>
      </c>
      <c r="L20" s="114" t="s">
        <v>9</v>
      </c>
      <c r="M20" s="114"/>
      <c r="N20" s="114"/>
      <c r="O20" s="111"/>
      <c r="P20" s="122"/>
      <c r="Q20" s="123" t="s">
        <v>41</v>
      </c>
      <c r="R20" s="123"/>
      <c r="S20" s="129">
        <f>SUM(S18:S19)</f>
        <v>657.75</v>
      </c>
      <c r="T20" s="128">
        <f>S20/$S$9</f>
        <v>0.18592400000000001</v>
      </c>
      <c r="U20" s="129">
        <f>S20/Aantalplaatsen</f>
        <v>131.55000000000001</v>
      </c>
    </row>
    <row r="21" spans="1:23" x14ac:dyDescent="0.3">
      <c r="A21" s="102"/>
      <c r="B21" s="103"/>
      <c r="C21" s="103"/>
      <c r="D21" s="103"/>
      <c r="E21" s="103"/>
      <c r="F21" s="103"/>
      <c r="G21" s="103"/>
      <c r="H21" s="103"/>
      <c r="I21" s="104"/>
      <c r="J21" s="115"/>
      <c r="K21" s="10">
        <v>0</v>
      </c>
      <c r="L21" s="114" t="s">
        <v>137</v>
      </c>
      <c r="M21" s="114"/>
      <c r="N21" s="114"/>
      <c r="O21" s="111"/>
      <c r="P21" s="122"/>
      <c r="Q21" s="123"/>
      <c r="R21" s="123"/>
      <c r="S21" s="123"/>
      <c r="T21" s="128"/>
      <c r="U21" s="129"/>
    </row>
    <row r="22" spans="1:23" ht="15.6" x14ac:dyDescent="0.3">
      <c r="A22" s="102"/>
      <c r="B22" s="103"/>
      <c r="C22" s="103"/>
      <c r="D22" s="103"/>
      <c r="E22" s="103"/>
      <c r="F22" s="103"/>
      <c r="G22" s="103"/>
      <c r="H22" s="103"/>
      <c r="I22" s="104"/>
      <c r="J22" s="108"/>
      <c r="K22" s="116">
        <f>SUM(K13:K21)</f>
        <v>0</v>
      </c>
      <c r="L22" s="119" t="s">
        <v>111</v>
      </c>
      <c r="M22" s="119"/>
      <c r="N22" s="119"/>
      <c r="O22" s="111"/>
      <c r="P22" s="122"/>
      <c r="Q22" s="125" t="s">
        <v>55</v>
      </c>
      <c r="R22" s="125"/>
      <c r="S22" s="126">
        <f>S15-S20</f>
        <v>156.98584905660391</v>
      </c>
      <c r="T22" s="127">
        <f>S22/$S$9</f>
        <v>4.4374666666666701E-2</v>
      </c>
      <c r="U22" s="126">
        <f>S22/Aantalplaatsen</f>
        <v>31.397169811320783</v>
      </c>
    </row>
    <row r="23" spans="1:23" x14ac:dyDescent="0.3">
      <c r="A23" s="102"/>
      <c r="B23" s="103"/>
      <c r="C23" s="103"/>
      <c r="D23" s="103"/>
      <c r="E23" s="103"/>
      <c r="F23" s="103"/>
      <c r="G23" s="103"/>
      <c r="H23" s="103"/>
      <c r="I23" s="104"/>
      <c r="J23" s="108"/>
      <c r="K23" s="116">
        <f>K11+K22</f>
        <v>8950</v>
      </c>
      <c r="L23" s="119" t="s">
        <v>30</v>
      </c>
      <c r="M23" s="119"/>
      <c r="N23" s="119"/>
      <c r="O23" s="111"/>
      <c r="P23" s="122"/>
      <c r="Q23" s="123"/>
      <c r="R23" s="123"/>
      <c r="S23" s="123"/>
      <c r="T23" s="128"/>
      <c r="U23" s="129"/>
    </row>
    <row r="24" spans="1:23" ht="15.6" x14ac:dyDescent="0.3">
      <c r="A24" s="102"/>
      <c r="B24" s="103"/>
      <c r="C24" s="103"/>
      <c r="D24" s="103"/>
      <c r="E24" s="103"/>
      <c r="F24" s="103"/>
      <c r="G24" s="103"/>
      <c r="H24" s="103"/>
      <c r="I24" s="104"/>
      <c r="J24" s="108"/>
      <c r="K24" s="10">
        <v>0</v>
      </c>
      <c r="L24" s="114" t="s">
        <v>113</v>
      </c>
      <c r="M24" s="119"/>
      <c r="N24" s="114"/>
      <c r="O24" s="111"/>
      <c r="P24" s="122"/>
      <c r="Q24" s="125" t="s">
        <v>56</v>
      </c>
      <c r="R24" s="125"/>
      <c r="S24" s="126">
        <f>S22+S18</f>
        <v>635.73584905660391</v>
      </c>
      <c r="T24" s="127">
        <f>S24/$S$9</f>
        <v>0.17970133333333335</v>
      </c>
      <c r="U24" s="126">
        <f>S24/Aantalplaatsen</f>
        <v>127.14716981132078</v>
      </c>
    </row>
    <row r="25" spans="1:23" x14ac:dyDescent="0.3">
      <c r="A25" s="102"/>
      <c r="B25" s="103"/>
      <c r="C25" s="103"/>
      <c r="D25" s="103"/>
      <c r="E25" s="103"/>
      <c r="F25" s="103"/>
      <c r="G25" s="103"/>
      <c r="H25" s="103"/>
      <c r="I25" s="104"/>
      <c r="J25" s="108"/>
      <c r="K25" s="116">
        <f>K23-K24</f>
        <v>8950</v>
      </c>
      <c r="L25" s="119" t="s">
        <v>30</v>
      </c>
      <c r="M25" s="119"/>
      <c r="N25" s="119"/>
      <c r="O25" s="111"/>
      <c r="P25" s="122"/>
      <c r="Q25" s="123"/>
      <c r="R25" s="123"/>
      <c r="S25" s="123"/>
      <c r="T25" s="123"/>
      <c r="U25" s="123"/>
    </row>
    <row r="26" spans="1:23" ht="15.6" x14ac:dyDescent="0.3">
      <c r="A26" s="102"/>
      <c r="B26" s="103"/>
      <c r="C26" s="103"/>
      <c r="D26" s="103"/>
      <c r="E26" s="103"/>
      <c r="F26" s="103"/>
      <c r="G26" s="103"/>
      <c r="H26" s="103"/>
      <c r="I26" s="104"/>
      <c r="J26" s="108"/>
      <c r="K26" s="113"/>
      <c r="L26" s="114"/>
      <c r="M26" s="114"/>
      <c r="N26" s="114"/>
      <c r="O26" s="111"/>
      <c r="P26" s="122"/>
      <c r="Q26" s="132" t="s">
        <v>77</v>
      </c>
      <c r="R26" s="132"/>
      <c r="S26" s="132"/>
      <c r="T26" s="133">
        <f>(S22+S19)/K25</f>
        <v>3.7540318330346809E-2</v>
      </c>
      <c r="U26" s="132"/>
    </row>
    <row r="27" spans="1:23" ht="18" x14ac:dyDescent="0.35">
      <c r="A27" s="102"/>
      <c r="B27" s="103"/>
      <c r="C27" s="103"/>
      <c r="D27" s="103"/>
      <c r="E27" s="103"/>
      <c r="F27" s="103"/>
      <c r="G27" s="103"/>
      <c r="H27" s="103"/>
      <c r="I27" s="104"/>
      <c r="J27" s="108"/>
      <c r="K27" s="110"/>
      <c r="L27" s="142" t="s">
        <v>46</v>
      </c>
      <c r="M27" s="120"/>
      <c r="N27" s="120"/>
      <c r="O27" s="111"/>
      <c r="P27" s="122"/>
      <c r="Q27" s="132" t="s">
        <v>78</v>
      </c>
      <c r="R27" s="132"/>
      <c r="S27" s="132"/>
      <c r="T27" s="133" t="str">
        <f>IF(K28&lt;=0,"",(S22/K28))</f>
        <v/>
      </c>
      <c r="U27" s="132"/>
    </row>
    <row r="28" spans="1:23" ht="15.6" x14ac:dyDescent="0.3">
      <c r="A28" s="102"/>
      <c r="B28" s="103"/>
      <c r="C28" s="103"/>
      <c r="D28" s="103"/>
      <c r="E28" s="103"/>
      <c r="F28" s="103"/>
      <c r="G28" s="103"/>
      <c r="H28" s="103"/>
      <c r="I28" s="104"/>
      <c r="J28" s="108"/>
      <c r="K28" s="10">
        <v>0</v>
      </c>
      <c r="L28" s="114" t="s">
        <v>47</v>
      </c>
      <c r="M28" s="114"/>
      <c r="N28" s="114"/>
      <c r="O28" s="111"/>
      <c r="P28" s="122"/>
      <c r="Q28" s="132" t="s">
        <v>79</v>
      </c>
      <c r="R28" s="132"/>
      <c r="S28" s="132"/>
      <c r="T28" s="134">
        <f>IF((K25)/S24&gt;0,(K25)/S24,"onbekend")</f>
        <v>14.078174155636015</v>
      </c>
      <c r="U28" s="132" t="s">
        <v>80</v>
      </c>
    </row>
    <row r="29" spans="1:23" x14ac:dyDescent="0.3">
      <c r="A29" s="102"/>
      <c r="B29" s="103"/>
      <c r="C29" s="103"/>
      <c r="D29" s="103"/>
      <c r="E29" s="103"/>
      <c r="F29" s="103"/>
      <c r="G29" s="103"/>
      <c r="H29" s="103"/>
      <c r="I29" s="104"/>
      <c r="J29" s="108"/>
      <c r="K29" s="113">
        <f>K25-K28</f>
        <v>8950</v>
      </c>
      <c r="L29" s="114" t="s">
        <v>48</v>
      </c>
      <c r="M29" s="114"/>
      <c r="N29" s="114"/>
      <c r="O29" s="111"/>
      <c r="P29" s="122"/>
      <c r="Q29" s="123"/>
      <c r="R29" s="123"/>
      <c r="S29" s="123"/>
      <c r="T29" s="123"/>
      <c r="U29" s="123"/>
    </row>
    <row r="30" spans="1:23" ht="15.6" x14ac:dyDescent="0.3">
      <c r="A30" s="102"/>
      <c r="B30" s="103"/>
      <c r="C30" s="103"/>
      <c r="D30" s="103"/>
      <c r="E30" s="103"/>
      <c r="F30" s="103"/>
      <c r="G30" s="103"/>
      <c r="H30" s="103"/>
      <c r="I30" s="104"/>
      <c r="J30" s="108"/>
      <c r="K30" s="9">
        <v>0.04</v>
      </c>
      <c r="L30" s="114" t="s">
        <v>49</v>
      </c>
      <c r="M30" s="114"/>
      <c r="N30" s="114"/>
      <c r="O30" s="111"/>
      <c r="P30" s="122"/>
      <c r="Q30" s="132" t="s">
        <v>92</v>
      </c>
      <c r="R30" s="132"/>
      <c r="S30" s="132"/>
      <c r="T30" s="135">
        <f>Investeringen!K51</f>
        <v>581</v>
      </c>
      <c r="U30" s="132" t="s">
        <v>85</v>
      </c>
    </row>
    <row r="31" spans="1:23" ht="15.6" x14ac:dyDescent="0.3">
      <c r="A31" s="102"/>
      <c r="B31" s="103"/>
      <c r="C31" s="103"/>
      <c r="D31" s="103"/>
      <c r="E31" s="103"/>
      <c r="F31" s="103"/>
      <c r="G31" s="103"/>
      <c r="H31" s="103"/>
      <c r="I31" s="104"/>
      <c r="J31" s="108"/>
      <c r="K31" s="113"/>
      <c r="L31" s="114"/>
      <c r="M31" s="114"/>
      <c r="N31" s="114"/>
      <c r="O31" s="111"/>
      <c r="P31" s="122"/>
      <c r="Q31" s="132"/>
      <c r="R31" s="132"/>
      <c r="S31" s="132"/>
      <c r="T31" s="135"/>
      <c r="U31" s="132"/>
    </row>
    <row r="32" spans="1:23" s="138" customFormat="1" x14ac:dyDescent="0.3">
      <c r="A32" s="136"/>
      <c r="B32" s="137" t="s">
        <v>177</v>
      </c>
      <c r="O32" s="139"/>
      <c r="P32" s="139"/>
      <c r="V32" s="140"/>
      <c r="W32" s="16"/>
    </row>
    <row r="33" spans="15:15" hidden="1" x14ac:dyDescent="0.3">
      <c r="O33" s="19"/>
    </row>
    <row r="34" spans="15:15" hidden="1" x14ac:dyDescent="0.3"/>
    <row r="35" spans="15:15" hidden="1" x14ac:dyDescent="0.3"/>
    <row r="36" spans="15:15" hidden="1" x14ac:dyDescent="0.3"/>
    <row r="37" spans="15:15" hidden="1" x14ac:dyDescent="0.3"/>
    <row r="38" spans="15:15" hidden="1" x14ac:dyDescent="0.3"/>
    <row r="39" spans="15:15" hidden="1" x14ac:dyDescent="0.3"/>
    <row r="40" spans="15:15" hidden="1" x14ac:dyDescent="0.3"/>
    <row r="41" spans="15:15" hidden="1" x14ac:dyDescent="0.3"/>
    <row r="42" spans="15:15" hidden="1" x14ac:dyDescent="0.3"/>
    <row r="43" spans="15:15" hidden="1" x14ac:dyDescent="0.3"/>
    <row r="44" spans="15:15" hidden="1" x14ac:dyDescent="0.3"/>
    <row r="45" spans="15:15" hidden="1" x14ac:dyDescent="0.3"/>
    <row r="46" spans="15:15" hidden="1" x14ac:dyDescent="0.3"/>
    <row r="47" spans="15:15" hidden="1" x14ac:dyDescent="0.3"/>
    <row r="48" spans="15:15" hidden="1" x14ac:dyDescent="0.3"/>
    <row r="49" hidden="1" x14ac:dyDescent="0.3"/>
  </sheetData>
  <sheetProtection algorithmName="SHA-512" hashValue="MGHP+0N39RGIpN76fdZZRK+b50PdOM1z3FUtJBXC3bUioLcpvFxBbaq+SgSI0m5LQSJXGJcrp2zT2QUY2S3Tlw==" saltValue="YbcmK6jVIblS1Wv2ETgxCA==" spinCount="100000" sheet="1" objects="1" scenarios="1" selectLockedCells="1"/>
  <mergeCells count="1">
    <mergeCell ref="B2:D2"/>
  </mergeCells>
  <conditionalFormatting sqref="S22">
    <cfRule type="cellIs" dxfId="5" priority="3" operator="greaterThan">
      <formula>0</formula>
    </cfRule>
    <cfRule type="cellIs" dxfId="4" priority="4" operator="lessThan">
      <formula>-8321</formula>
    </cfRule>
    <cfRule type="cellIs" dxfId="3" priority="5" operator="lessThan">
      <formula>0</formula>
    </cfRule>
    <cfRule type="cellIs" dxfId="2" priority="6" operator="greaterThan">
      <formula>0</formula>
    </cfRule>
  </conditionalFormatting>
  <conditionalFormatting sqref="S22:U22">
    <cfRule type="cellIs" dxfId="1" priority="1" operator="greaterThan">
      <formula>0</formula>
    </cfRule>
    <cfRule type="cellIs" dxfId="0" priority="2" operator="lessThan">
      <formula>0</formula>
    </cfRule>
  </conditionalFormatting>
  <pageMargins left="0.7" right="0.7" top="0.75" bottom="0.75" header="0.3" footer="0.3"/>
  <pageSetup paperSize="9" scale="72" orientation="landscape" r:id="rId1"/>
  <headerFooter>
    <oddFooter>&amp;C&amp;G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Option Button 1">
              <controlPr defaultSize="0" autoFill="0" autoLine="0" autoPict="0">
                <anchor moveWithCells="1">
                  <from>
                    <xdr:col>5</xdr:col>
                    <xdr:colOff>312420</xdr:colOff>
                    <xdr:row>2</xdr:row>
                    <xdr:rowOff>182880</xdr:rowOff>
                  </from>
                  <to>
                    <xdr:col>5</xdr:col>
                    <xdr:colOff>594360</xdr:colOff>
                    <xdr:row>4</xdr:row>
                    <xdr:rowOff>7620</xdr:rowOff>
                  </to>
                </anchor>
              </controlPr>
            </control>
          </mc:Choice>
        </mc:AlternateContent>
        <mc:AlternateContent xmlns:mc="http://schemas.openxmlformats.org/markup-compatibility/2006">
          <mc:Choice Requires="x14">
            <control shapeId="2050" r:id="rId6" name="Option Button 2">
              <controlPr defaultSize="0" autoFill="0" autoLine="0" autoPict="0">
                <anchor moveWithCells="1">
                  <from>
                    <xdr:col>5</xdr:col>
                    <xdr:colOff>312420</xdr:colOff>
                    <xdr:row>3</xdr:row>
                    <xdr:rowOff>160020</xdr:rowOff>
                  </from>
                  <to>
                    <xdr:col>5</xdr:col>
                    <xdr:colOff>563880</xdr:colOff>
                    <xdr:row>5</xdr:row>
                    <xdr:rowOff>0</xdr:rowOff>
                  </to>
                </anchor>
              </controlPr>
            </control>
          </mc:Choice>
        </mc:AlternateContent>
        <mc:AlternateContent xmlns:mc="http://schemas.openxmlformats.org/markup-compatibility/2006">
          <mc:Choice Requires="x14">
            <control shapeId="2051" r:id="rId7" name="Option Button 3">
              <controlPr defaultSize="0" autoFill="0" autoLine="0" autoPict="0">
                <anchor moveWithCells="1">
                  <from>
                    <xdr:col>5</xdr:col>
                    <xdr:colOff>312420</xdr:colOff>
                    <xdr:row>5</xdr:row>
                    <xdr:rowOff>0</xdr:rowOff>
                  </from>
                  <to>
                    <xdr:col>5</xdr:col>
                    <xdr:colOff>563880</xdr:colOff>
                    <xdr:row>6</xdr:row>
                    <xdr:rowOff>22860</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5</xdr:col>
                    <xdr:colOff>106680</xdr:colOff>
                    <xdr:row>11</xdr:row>
                    <xdr:rowOff>0</xdr:rowOff>
                  </from>
                  <to>
                    <xdr:col>5</xdr:col>
                    <xdr:colOff>304800</xdr:colOff>
                    <xdr:row>12</xdr:row>
                    <xdr:rowOff>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5</xdr:col>
                    <xdr:colOff>106680</xdr:colOff>
                    <xdr:row>12</xdr:row>
                    <xdr:rowOff>0</xdr:rowOff>
                  </from>
                  <to>
                    <xdr:col>5</xdr:col>
                    <xdr:colOff>304800</xdr:colOff>
                    <xdr:row>13</xdr:row>
                    <xdr:rowOff>0</xdr:rowOff>
                  </to>
                </anchor>
              </controlPr>
            </control>
          </mc:Choice>
        </mc:AlternateContent>
        <mc:AlternateContent xmlns:mc="http://schemas.openxmlformats.org/markup-compatibility/2006">
          <mc:Choice Requires="x14">
            <control shapeId="2058" r:id="rId10" name="Check Box 10">
              <controlPr defaultSize="0" autoFill="0" autoLine="0" autoPict="0">
                <anchor moveWithCells="1">
                  <from>
                    <xdr:col>5</xdr:col>
                    <xdr:colOff>106680</xdr:colOff>
                    <xdr:row>13</xdr:row>
                    <xdr:rowOff>0</xdr:rowOff>
                  </from>
                  <to>
                    <xdr:col>5</xdr:col>
                    <xdr:colOff>304800</xdr:colOff>
                    <xdr:row>14</xdr:row>
                    <xdr:rowOff>0</xdr:rowOff>
                  </to>
                </anchor>
              </controlPr>
            </control>
          </mc:Choice>
        </mc:AlternateContent>
        <mc:AlternateContent xmlns:mc="http://schemas.openxmlformats.org/markup-compatibility/2006">
          <mc:Choice Requires="x14">
            <control shapeId="2070" r:id="rId11" name="Drop Down 22">
              <controlPr locked="0" defaultSize="0" autoLine="0" autoPict="0">
                <anchor moveWithCells="1">
                  <from>
                    <xdr:col>5</xdr:col>
                    <xdr:colOff>114300</xdr:colOff>
                    <xdr:row>16</xdr:row>
                    <xdr:rowOff>22860</xdr:rowOff>
                  </from>
                  <to>
                    <xdr:col>8</xdr:col>
                    <xdr:colOff>228600</xdr:colOff>
                    <xdr:row>17</xdr:row>
                    <xdr:rowOff>99060</xdr:rowOff>
                  </to>
                </anchor>
              </controlPr>
            </control>
          </mc:Choice>
        </mc:AlternateContent>
        <mc:AlternateContent xmlns:mc="http://schemas.openxmlformats.org/markup-compatibility/2006">
          <mc:Choice Requires="x14">
            <control shapeId="2071" r:id="rId12" name="Check Box 23">
              <controlPr defaultSize="0" autoFill="0" autoLine="0" autoPict="0">
                <anchor moveWithCells="1">
                  <from>
                    <xdr:col>5</xdr:col>
                    <xdr:colOff>106680</xdr:colOff>
                    <xdr:row>14</xdr:row>
                    <xdr:rowOff>0</xdr:rowOff>
                  </from>
                  <to>
                    <xdr:col>5</xdr:col>
                    <xdr:colOff>304800</xdr:colOff>
                    <xdr:row>14</xdr:row>
                    <xdr:rowOff>190500</xdr:rowOff>
                  </to>
                </anchor>
              </controlPr>
            </control>
          </mc:Choice>
        </mc:AlternateContent>
        <mc:AlternateContent xmlns:mc="http://schemas.openxmlformats.org/markup-compatibility/2006">
          <mc:Choice Requires="x14">
            <control shapeId="2073" r:id="rId13" name="Check Box 25">
              <controlPr defaultSize="0" autoFill="0" autoLine="0" autoPict="0">
                <anchor moveWithCells="1">
                  <from>
                    <xdr:col>5</xdr:col>
                    <xdr:colOff>106680</xdr:colOff>
                    <xdr:row>15</xdr:row>
                    <xdr:rowOff>0</xdr:rowOff>
                  </from>
                  <to>
                    <xdr:col>5</xdr:col>
                    <xdr:colOff>304800</xdr:colOff>
                    <xdr:row>16</xdr:row>
                    <xdr:rowOff>0</xdr:rowOff>
                  </to>
                </anchor>
              </controlPr>
            </control>
          </mc:Choice>
        </mc:AlternateContent>
        <mc:AlternateContent xmlns:mc="http://schemas.openxmlformats.org/markup-compatibility/2006">
          <mc:Choice Requires="x14">
            <control shapeId="2074" r:id="rId14" name="Check Box 26">
              <controlPr defaultSize="0" autoFill="0" autoLine="0" autoPict="0">
                <anchor moveWithCells="1">
                  <from>
                    <xdr:col>5</xdr:col>
                    <xdr:colOff>106680</xdr:colOff>
                    <xdr:row>10</xdr:row>
                    <xdr:rowOff>0</xdr:rowOff>
                  </from>
                  <to>
                    <xdr:col>5</xdr:col>
                    <xdr:colOff>304800</xdr:colOff>
                    <xdr:row>11</xdr:row>
                    <xdr:rowOff>0</xdr:rowOff>
                  </to>
                </anchor>
              </controlPr>
            </control>
          </mc:Choice>
        </mc:AlternateContent>
        <mc:AlternateContent xmlns:mc="http://schemas.openxmlformats.org/markup-compatibility/2006">
          <mc:Choice Requires="x14">
            <control shapeId="2075" r:id="rId15" name="Check Box 27">
              <controlPr defaultSize="0" autoFill="0" autoLine="0" autoPict="0">
                <anchor moveWithCells="1">
                  <from>
                    <xdr:col>5</xdr:col>
                    <xdr:colOff>106680</xdr:colOff>
                    <xdr:row>9</xdr:row>
                    <xdr:rowOff>0</xdr:rowOff>
                  </from>
                  <to>
                    <xdr:col>5</xdr:col>
                    <xdr:colOff>304800</xdr:colOff>
                    <xdr:row>10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N155"/>
  <sheetViews>
    <sheetView showGridLines="0" showRowColHeaders="0" showRuler="0" zoomScale="98" zoomScaleNormal="98" workbookViewId="0">
      <selection activeCell="D130" sqref="D130"/>
    </sheetView>
  </sheetViews>
  <sheetFormatPr defaultColWidth="0" defaultRowHeight="14.4" zeroHeight="1" x14ac:dyDescent="0.3"/>
  <cols>
    <col min="1" max="1" width="5.88671875" customWidth="1"/>
    <col min="2" max="14" width="9.109375" customWidth="1"/>
    <col min="15" max="16384" width="9.109375" hidden="1"/>
  </cols>
  <sheetData>
    <row r="1" spans="1:14" ht="10.5" customHeight="1" x14ac:dyDescent="0.3"/>
    <row r="2" spans="1:14" ht="18" x14ac:dyDescent="0.3">
      <c r="B2" s="8" t="s">
        <v>159</v>
      </c>
    </row>
    <row r="3" spans="1:14" ht="18" x14ac:dyDescent="0.3">
      <c r="B3" s="8" t="s">
        <v>160</v>
      </c>
    </row>
    <row r="4" spans="1:14" ht="8.25" customHeight="1" x14ac:dyDescent="0.3">
      <c r="B4" s="5"/>
    </row>
    <row r="5" spans="1:14" ht="14.25" customHeight="1" x14ac:dyDescent="0.3">
      <c r="B5" s="8" t="s">
        <v>167</v>
      </c>
    </row>
    <row r="6" spans="1:14" x14ac:dyDescent="0.3">
      <c r="B6" s="5" t="s">
        <v>213</v>
      </c>
    </row>
    <row r="7" spans="1:14" s="147" customFormat="1" x14ac:dyDescent="0.3">
      <c r="A7"/>
      <c r="B7" s="148" t="s">
        <v>214</v>
      </c>
      <c r="C7" s="149"/>
      <c r="D7" s="149"/>
      <c r="E7" s="149"/>
      <c r="F7" s="149"/>
      <c r="G7" s="149"/>
      <c r="H7" s="149"/>
      <c r="I7" s="149"/>
      <c r="J7" s="149"/>
      <c r="K7" s="149"/>
      <c r="L7" s="149"/>
      <c r="M7" s="149"/>
      <c r="N7" s="149"/>
    </row>
    <row r="8" spans="1:14" s="147" customFormat="1" x14ac:dyDescent="0.3">
      <c r="A8"/>
      <c r="B8" s="148" t="s">
        <v>215</v>
      </c>
      <c r="C8" s="149"/>
      <c r="D8" s="149"/>
      <c r="E8" s="149"/>
      <c r="F8" s="149"/>
      <c r="G8" s="149"/>
      <c r="H8" s="149"/>
      <c r="I8" s="149"/>
      <c r="J8" s="149"/>
      <c r="K8" s="149"/>
      <c r="L8" s="149"/>
      <c r="M8" s="149"/>
      <c r="N8" s="149"/>
    </row>
    <row r="9" spans="1:14" s="147" customFormat="1" x14ac:dyDescent="0.3">
      <c r="A9"/>
      <c r="B9" s="148" t="s">
        <v>245</v>
      </c>
      <c r="C9" s="149"/>
      <c r="D9" s="149"/>
      <c r="E9" s="149"/>
      <c r="F9" s="149"/>
      <c r="G9" s="149"/>
      <c r="H9" s="149"/>
      <c r="I9" s="149"/>
      <c r="J9" s="149"/>
      <c r="K9" s="149"/>
      <c r="L9" s="149"/>
      <c r="M9" s="149"/>
      <c r="N9" s="149"/>
    </row>
    <row r="10" spans="1:14" x14ac:dyDescent="0.3">
      <c r="B10" s="148" t="s">
        <v>216</v>
      </c>
      <c r="C10" s="149"/>
      <c r="D10" s="149"/>
      <c r="E10" s="149"/>
      <c r="F10" s="149"/>
      <c r="G10" s="149"/>
      <c r="H10" s="149"/>
      <c r="I10" s="149"/>
      <c r="J10" s="149"/>
      <c r="K10" s="149"/>
      <c r="L10" s="149"/>
      <c r="M10" s="149"/>
      <c r="N10" s="149"/>
    </row>
    <row r="11" spans="1:14" ht="9.75" customHeight="1" x14ac:dyDescent="0.3">
      <c r="B11" s="148"/>
      <c r="C11" s="149"/>
      <c r="D11" s="149"/>
      <c r="E11" s="149"/>
      <c r="F11" s="149"/>
      <c r="G11" s="149"/>
      <c r="H11" s="149"/>
      <c r="I11" s="149"/>
      <c r="J11" s="149"/>
      <c r="K11" s="149"/>
      <c r="L11" s="149"/>
      <c r="M11" s="149"/>
      <c r="N11" s="149"/>
    </row>
    <row r="12" spans="1:14" x14ac:dyDescent="0.3">
      <c r="B12" s="151" t="s">
        <v>0</v>
      </c>
      <c r="C12" s="149"/>
      <c r="D12" s="149"/>
      <c r="E12" s="149"/>
      <c r="F12" s="149"/>
      <c r="G12" s="149"/>
      <c r="H12" s="149"/>
      <c r="I12" s="149"/>
      <c r="J12" s="149"/>
      <c r="K12" s="149"/>
      <c r="L12" s="149"/>
      <c r="M12" s="149"/>
      <c r="N12" s="149"/>
    </row>
    <row r="13" spans="1:14" x14ac:dyDescent="0.3">
      <c r="B13" s="5" t="s">
        <v>247</v>
      </c>
    </row>
    <row r="14" spans="1:14" ht="9.75" customHeight="1" x14ac:dyDescent="0.3">
      <c r="B14" s="5"/>
    </row>
    <row r="15" spans="1:14" x14ac:dyDescent="0.3">
      <c r="B15" s="7" t="s">
        <v>1</v>
      </c>
    </row>
    <row r="16" spans="1:14" x14ac:dyDescent="0.3">
      <c r="B16" s="5" t="s">
        <v>194</v>
      </c>
    </row>
    <row r="17" spans="2:4" ht="9" customHeight="1" x14ac:dyDescent="0.3">
      <c r="B17" s="5"/>
    </row>
    <row r="18" spans="2:4" x14ac:dyDescent="0.3">
      <c r="B18" s="7" t="s">
        <v>2</v>
      </c>
    </row>
    <row r="19" spans="2:4" x14ac:dyDescent="0.3">
      <c r="B19" s="6" t="s">
        <v>201</v>
      </c>
    </row>
    <row r="20" spans="2:4" x14ac:dyDescent="0.3">
      <c r="B20" s="6" t="s">
        <v>217</v>
      </c>
    </row>
    <row r="21" spans="2:4" x14ac:dyDescent="0.3">
      <c r="B21" s="6" t="s">
        <v>218</v>
      </c>
      <c r="C21" s="6"/>
      <c r="D21" s="6"/>
    </row>
    <row r="22" spans="2:4" x14ac:dyDescent="0.3">
      <c r="B22" s="6" t="s">
        <v>87</v>
      </c>
    </row>
    <row r="23" spans="2:4" x14ac:dyDescent="0.3">
      <c r="B23" s="6" t="s">
        <v>142</v>
      </c>
    </row>
    <row r="24" spans="2:4" x14ac:dyDescent="0.3">
      <c r="B24" s="6" t="s">
        <v>88</v>
      </c>
    </row>
    <row r="25" spans="2:4" x14ac:dyDescent="0.3">
      <c r="B25" s="7" t="s">
        <v>202</v>
      </c>
    </row>
    <row r="26" spans="2:4" x14ac:dyDescent="0.3">
      <c r="B26" s="6" t="s">
        <v>161</v>
      </c>
    </row>
    <row r="27" spans="2:4" x14ac:dyDescent="0.3">
      <c r="B27" s="6" t="s">
        <v>219</v>
      </c>
    </row>
    <row r="28" spans="2:4" x14ac:dyDescent="0.3">
      <c r="B28" s="6" t="s">
        <v>130</v>
      </c>
    </row>
    <row r="29" spans="2:4" x14ac:dyDescent="0.3">
      <c r="B29" s="6" t="s">
        <v>143</v>
      </c>
    </row>
    <row r="30" spans="2:4" x14ac:dyDescent="0.3">
      <c r="B30" s="6" t="s">
        <v>89</v>
      </c>
    </row>
    <row r="31" spans="2:4" x14ac:dyDescent="0.3">
      <c r="B31" s="7" t="s">
        <v>3</v>
      </c>
    </row>
    <row r="32" spans="2:4" x14ac:dyDescent="0.3">
      <c r="B32" s="6" t="s">
        <v>90</v>
      </c>
    </row>
    <row r="33" spans="2:2" x14ac:dyDescent="0.3">
      <c r="B33" s="6" t="s">
        <v>220</v>
      </c>
    </row>
    <row r="34" spans="2:2" x14ac:dyDescent="0.3">
      <c r="B34" s="6" t="s">
        <v>129</v>
      </c>
    </row>
    <row r="35" spans="2:2" x14ac:dyDescent="0.3">
      <c r="B35" s="6" t="s">
        <v>144</v>
      </c>
    </row>
    <row r="36" spans="2:2" x14ac:dyDescent="0.3">
      <c r="B36" s="6" t="s">
        <v>134</v>
      </c>
    </row>
    <row r="37" spans="2:2" x14ac:dyDescent="0.3">
      <c r="B37" s="6"/>
    </row>
    <row r="38" spans="2:2" x14ac:dyDescent="0.3">
      <c r="B38" s="7" t="s">
        <v>5</v>
      </c>
    </row>
    <row r="39" spans="2:2" x14ac:dyDescent="0.3">
      <c r="B39" s="5" t="s">
        <v>221</v>
      </c>
    </row>
    <row r="40" spans="2:2" x14ac:dyDescent="0.3">
      <c r="B40" s="5" t="s">
        <v>222</v>
      </c>
    </row>
    <row r="41" spans="2:2" x14ac:dyDescent="0.3">
      <c r="B41" s="5"/>
    </row>
    <row r="42" spans="2:2" x14ac:dyDescent="0.3">
      <c r="B42" s="7" t="s">
        <v>76</v>
      </c>
    </row>
    <row r="43" spans="2:2" x14ac:dyDescent="0.3">
      <c r="B43" s="5" t="s">
        <v>178</v>
      </c>
    </row>
    <row r="44" spans="2:2" x14ac:dyDescent="0.3">
      <c r="B44" s="5" t="s">
        <v>91</v>
      </c>
    </row>
    <row r="45" spans="2:2" x14ac:dyDescent="0.3">
      <c r="B45" s="5"/>
    </row>
    <row r="46" spans="2:2" ht="18" x14ac:dyDescent="0.3">
      <c r="B46" s="8" t="s">
        <v>226</v>
      </c>
    </row>
    <row r="47" spans="2:2" x14ac:dyDescent="0.3">
      <c r="B47" s="5"/>
    </row>
    <row r="48" spans="2:2" x14ac:dyDescent="0.3">
      <c r="B48" s="7" t="s">
        <v>149</v>
      </c>
    </row>
    <row r="49" spans="2:10" x14ac:dyDescent="0.3">
      <c r="B49" s="5" t="s">
        <v>225</v>
      </c>
    </row>
    <row r="50" spans="2:10" x14ac:dyDescent="0.3">
      <c r="B50" s="5" t="s">
        <v>228</v>
      </c>
    </row>
    <row r="51" spans="2:10" x14ac:dyDescent="0.3">
      <c r="B51" s="5"/>
    </row>
    <row r="52" spans="2:10" x14ac:dyDescent="0.3">
      <c r="B52" s="7" t="s">
        <v>223</v>
      </c>
    </row>
    <row r="53" spans="2:10" x14ac:dyDescent="0.3">
      <c r="B53" s="5" t="s">
        <v>224</v>
      </c>
      <c r="J53" s="2"/>
    </row>
    <row r="54" spans="2:10" x14ac:dyDescent="0.3">
      <c r="B54" s="5" t="s">
        <v>229</v>
      </c>
    </row>
    <row r="55" spans="2:10" x14ac:dyDescent="0.3">
      <c r="B55" s="5" t="s">
        <v>227</v>
      </c>
    </row>
    <row r="56" spans="2:10" x14ac:dyDescent="0.3">
      <c r="B56" s="5"/>
    </row>
    <row r="57" spans="2:10" ht="18" x14ac:dyDescent="0.3">
      <c r="B57" s="8" t="s">
        <v>4</v>
      </c>
    </row>
    <row r="58" spans="2:10" x14ac:dyDescent="0.3">
      <c r="B58" s="7" t="s">
        <v>7</v>
      </c>
    </row>
    <row r="59" spans="2:10" x14ac:dyDescent="0.3">
      <c r="B59" s="5" t="s">
        <v>230</v>
      </c>
    </row>
    <row r="60" spans="2:10" x14ac:dyDescent="0.3">
      <c r="B60" t="s">
        <v>232</v>
      </c>
    </row>
    <row r="61" spans="2:10" x14ac:dyDescent="0.3">
      <c r="B61" s="5" t="s">
        <v>231</v>
      </c>
    </row>
    <row r="62" spans="2:10" x14ac:dyDescent="0.3">
      <c r="B62" s="5" t="s">
        <v>195</v>
      </c>
    </row>
    <row r="63" spans="2:10" x14ac:dyDescent="0.3"/>
    <row r="64" spans="2:10" x14ac:dyDescent="0.3"/>
    <row r="65" spans="2:9" ht="9" customHeight="1" x14ac:dyDescent="0.3"/>
    <row r="66" spans="2:9" ht="5.25" customHeight="1" x14ac:dyDescent="0.3"/>
    <row r="67" spans="2:9" x14ac:dyDescent="0.3">
      <c r="B67" s="7" t="s">
        <v>131</v>
      </c>
    </row>
    <row r="68" spans="2:9" x14ac:dyDescent="0.3">
      <c r="B68" t="s">
        <v>93</v>
      </c>
    </row>
    <row r="69" spans="2:9" x14ac:dyDescent="0.3">
      <c r="B69" t="s">
        <v>145</v>
      </c>
    </row>
    <row r="70" spans="2:9" x14ac:dyDescent="0.3"/>
    <row r="71" spans="2:9" x14ac:dyDescent="0.3"/>
    <row r="72" spans="2:9" x14ac:dyDescent="0.3"/>
    <row r="73" spans="2:9" ht="11.25" customHeight="1" x14ac:dyDescent="0.3"/>
    <row r="74" spans="2:9" ht="11.25" customHeight="1" x14ac:dyDescent="0.3">
      <c r="B74" s="7" t="s">
        <v>8</v>
      </c>
    </row>
    <row r="75" spans="2:9" x14ac:dyDescent="0.3">
      <c r="B75" t="s">
        <v>196</v>
      </c>
    </row>
    <row r="76" spans="2:9" x14ac:dyDescent="0.3"/>
    <row r="77" spans="2:9" x14ac:dyDescent="0.3">
      <c r="B77" s="2" t="s">
        <v>153</v>
      </c>
    </row>
    <row r="78" spans="2:9" x14ac:dyDescent="0.3">
      <c r="B78" t="s">
        <v>197</v>
      </c>
    </row>
    <row r="79" spans="2:9" x14ac:dyDescent="0.3">
      <c r="I79" s="2"/>
    </row>
    <row r="80" spans="2:9" x14ac:dyDescent="0.3">
      <c r="B80" s="7" t="s">
        <v>94</v>
      </c>
    </row>
    <row r="81" spans="2:14" x14ac:dyDescent="0.3">
      <c r="B81" t="s">
        <v>198</v>
      </c>
    </row>
    <row r="82" spans="2:14" x14ac:dyDescent="0.3">
      <c r="C82" s="149"/>
      <c r="D82" s="149"/>
      <c r="E82" s="149"/>
      <c r="F82" s="149"/>
      <c r="G82" s="149"/>
      <c r="H82" s="149"/>
      <c r="I82" s="149"/>
      <c r="J82" s="149"/>
      <c r="K82" s="149"/>
      <c r="L82" s="149"/>
      <c r="M82" s="149"/>
      <c r="N82" s="149"/>
    </row>
    <row r="83" spans="2:14" x14ac:dyDescent="0.3">
      <c r="B83" s="150" t="s">
        <v>163</v>
      </c>
      <c r="C83" s="149"/>
      <c r="D83" s="149"/>
      <c r="E83" s="149"/>
      <c r="F83" s="149"/>
      <c r="G83" s="149"/>
      <c r="H83" s="149"/>
      <c r="I83" s="149"/>
      <c r="J83" s="149"/>
      <c r="K83" s="149"/>
      <c r="L83" s="149"/>
      <c r="M83" s="149"/>
      <c r="N83" s="149"/>
    </row>
    <row r="84" spans="2:14" x14ac:dyDescent="0.3">
      <c r="B84" s="149" t="s">
        <v>176</v>
      </c>
      <c r="C84" s="149"/>
      <c r="D84" s="149"/>
      <c r="E84" s="149"/>
      <c r="F84" s="149"/>
      <c r="G84" s="149"/>
      <c r="H84" s="149"/>
      <c r="I84" s="149"/>
      <c r="J84" s="149"/>
      <c r="K84" s="149"/>
      <c r="L84" s="149"/>
      <c r="M84" s="149"/>
      <c r="N84" s="149"/>
    </row>
    <row r="85" spans="2:14" x14ac:dyDescent="0.3">
      <c r="B85" s="149" t="s">
        <v>233</v>
      </c>
      <c r="C85" s="149"/>
      <c r="D85" s="149"/>
      <c r="E85" s="149"/>
      <c r="F85" s="149"/>
      <c r="G85" s="149"/>
      <c r="H85" s="149"/>
      <c r="I85" s="149"/>
      <c r="J85" s="149"/>
      <c r="K85" s="149"/>
      <c r="L85" s="149"/>
      <c r="M85" s="149"/>
      <c r="N85" s="149"/>
    </row>
    <row r="86" spans="2:14" ht="12" customHeight="1" x14ac:dyDescent="0.3">
      <c r="B86" s="149"/>
      <c r="C86" s="149"/>
      <c r="D86" s="149"/>
      <c r="E86" s="149"/>
      <c r="F86" s="149"/>
      <c r="G86" s="149"/>
      <c r="H86" s="149"/>
      <c r="I86" s="149"/>
      <c r="J86" s="149"/>
      <c r="K86" s="149"/>
      <c r="L86" s="149"/>
      <c r="M86" s="149"/>
      <c r="N86" s="149"/>
    </row>
    <row r="87" spans="2:14" x14ac:dyDescent="0.3">
      <c r="B87" s="150" t="s">
        <v>200</v>
      </c>
      <c r="C87" s="149"/>
      <c r="D87" s="149"/>
      <c r="E87" s="149"/>
      <c r="F87" s="149"/>
      <c r="G87" s="149"/>
      <c r="H87" s="149"/>
      <c r="I87" s="149"/>
      <c r="J87" s="149"/>
      <c r="K87" s="149"/>
      <c r="L87" s="149"/>
      <c r="M87" s="149"/>
      <c r="N87" s="149"/>
    </row>
    <row r="88" spans="2:14" x14ac:dyDescent="0.3">
      <c r="B88" s="149" t="s">
        <v>235</v>
      </c>
      <c r="C88" s="149"/>
      <c r="D88" s="149"/>
      <c r="E88" s="149"/>
      <c r="F88" s="149"/>
      <c r="G88" s="149"/>
      <c r="H88" s="149"/>
      <c r="I88" s="149"/>
      <c r="J88" s="149"/>
      <c r="K88" s="149"/>
      <c r="L88" s="149"/>
      <c r="M88" s="149"/>
      <c r="N88" s="149"/>
    </row>
    <row r="89" spans="2:14" x14ac:dyDescent="0.3">
      <c r="B89" t="s">
        <v>234</v>
      </c>
      <c r="C89" s="149"/>
      <c r="D89" s="149"/>
      <c r="E89" s="149"/>
      <c r="F89" s="149"/>
      <c r="G89" s="149"/>
      <c r="H89" s="149"/>
      <c r="I89" s="149"/>
      <c r="J89" s="149"/>
      <c r="K89" s="149"/>
      <c r="L89" s="149"/>
      <c r="M89" s="149"/>
      <c r="N89" s="149"/>
    </row>
    <row r="90" spans="2:14" ht="15" customHeight="1" x14ac:dyDescent="0.3">
      <c r="B90" t="s">
        <v>236</v>
      </c>
      <c r="C90" s="149"/>
      <c r="D90" s="149"/>
      <c r="E90" s="149"/>
      <c r="F90" s="149"/>
      <c r="G90" s="149"/>
      <c r="H90" s="149"/>
      <c r="I90" s="149"/>
      <c r="J90" s="149"/>
      <c r="K90" s="149"/>
      <c r="L90" s="149"/>
      <c r="M90" s="149"/>
      <c r="N90" s="149"/>
    </row>
    <row r="91" spans="2:14" ht="11.25" customHeight="1" x14ac:dyDescent="0.3">
      <c r="B91" s="149"/>
      <c r="C91" s="149"/>
      <c r="D91" s="149"/>
      <c r="E91" s="149"/>
      <c r="F91" s="149"/>
      <c r="G91" s="149"/>
      <c r="H91" s="149"/>
      <c r="I91" s="149"/>
      <c r="J91" s="149"/>
      <c r="K91" s="149"/>
      <c r="L91" s="149"/>
      <c r="M91" s="149"/>
      <c r="N91" s="149"/>
    </row>
    <row r="92" spans="2:14" x14ac:dyDescent="0.3">
      <c r="B92" s="7" t="s">
        <v>10</v>
      </c>
    </row>
    <row r="93" spans="2:14" x14ac:dyDescent="0.3">
      <c r="B93" t="s">
        <v>237</v>
      </c>
    </row>
    <row r="94" spans="2:14" x14ac:dyDescent="0.3">
      <c r="B94" t="s">
        <v>240</v>
      </c>
    </row>
    <row r="95" spans="2:14" x14ac:dyDescent="0.3">
      <c r="B95" t="s">
        <v>238</v>
      </c>
    </row>
    <row r="96" spans="2:14" x14ac:dyDescent="0.3">
      <c r="B96" t="s">
        <v>239</v>
      </c>
    </row>
    <row r="97" spans="2:3" ht="11.25" customHeight="1" x14ac:dyDescent="0.3"/>
    <row r="98" spans="2:3" x14ac:dyDescent="0.3">
      <c r="B98" s="2" t="s">
        <v>125</v>
      </c>
    </row>
    <row r="99" spans="2:3" x14ac:dyDescent="0.3">
      <c r="B99" t="s">
        <v>241</v>
      </c>
    </row>
    <row r="100" spans="2:3" x14ac:dyDescent="0.3">
      <c r="B100" t="s">
        <v>199</v>
      </c>
    </row>
    <row r="101" spans="2:3" ht="11.25" customHeight="1" x14ac:dyDescent="0.3">
      <c r="C101" s="7"/>
    </row>
    <row r="102" spans="2:3" x14ac:dyDescent="0.3">
      <c r="B102" s="7" t="s">
        <v>101</v>
      </c>
    </row>
    <row r="103" spans="2:3" x14ac:dyDescent="0.3">
      <c r="B103" t="s">
        <v>242</v>
      </c>
    </row>
    <row r="104" spans="2:3" x14ac:dyDescent="0.3">
      <c r="B104" t="s">
        <v>102</v>
      </c>
    </row>
    <row r="105" spans="2:3" x14ac:dyDescent="0.3"/>
    <row r="106" spans="2:3" x14ac:dyDescent="0.3">
      <c r="B106" s="2" t="s">
        <v>249</v>
      </c>
    </row>
    <row r="107" spans="2:3" x14ac:dyDescent="0.3">
      <c r="B107" t="s">
        <v>250</v>
      </c>
    </row>
    <row r="108" spans="2:3" x14ac:dyDescent="0.3">
      <c r="B108" t="s">
        <v>251</v>
      </c>
    </row>
    <row r="109" spans="2:3" x14ac:dyDescent="0.3">
      <c r="B109" t="s">
        <v>252</v>
      </c>
    </row>
    <row r="110" spans="2:3" ht="9.75" customHeight="1" x14ac:dyDescent="0.3"/>
    <row r="111" spans="2:3" x14ac:dyDescent="0.3">
      <c r="B111" s="2" t="s">
        <v>103</v>
      </c>
    </row>
    <row r="112" spans="2:3" x14ac:dyDescent="0.3">
      <c r="B112" t="s">
        <v>104</v>
      </c>
    </row>
    <row r="113" spans="2:13" x14ac:dyDescent="0.3">
      <c r="B113" t="s">
        <v>105</v>
      </c>
    </row>
    <row r="114" spans="2:13" x14ac:dyDescent="0.3"/>
    <row r="115" spans="2:13" ht="18" x14ac:dyDescent="0.3">
      <c r="B115" s="8" t="s">
        <v>128</v>
      </c>
    </row>
    <row r="116" spans="2:13" ht="4.5" customHeight="1" x14ac:dyDescent="0.3"/>
    <row r="117" spans="2:13" x14ac:dyDescent="0.3">
      <c r="B117" s="2" t="s">
        <v>77</v>
      </c>
    </row>
    <row r="118" spans="2:13" x14ac:dyDescent="0.3">
      <c r="B118" t="s">
        <v>243</v>
      </c>
    </row>
    <row r="119" spans="2:13" x14ac:dyDescent="0.3"/>
    <row r="120" spans="2:13" x14ac:dyDescent="0.3">
      <c r="B120" s="2" t="s">
        <v>106</v>
      </c>
    </row>
    <row r="121" spans="2:13" x14ac:dyDescent="0.3">
      <c r="B121" t="s">
        <v>244</v>
      </c>
    </row>
    <row r="122" spans="2:13" x14ac:dyDescent="0.3"/>
    <row r="123" spans="2:13" x14ac:dyDescent="0.3">
      <c r="B123" s="2" t="s">
        <v>79</v>
      </c>
    </row>
    <row r="124" spans="2:13" x14ac:dyDescent="0.3">
      <c r="B124" t="s">
        <v>248</v>
      </c>
    </row>
    <row r="125" spans="2:13" x14ac:dyDescent="0.3"/>
    <row r="126" spans="2:13" x14ac:dyDescent="0.3"/>
    <row r="127" spans="2:13" x14ac:dyDescent="0.3">
      <c r="B127" t="s">
        <v>185</v>
      </c>
      <c r="C127" s="145"/>
      <c r="D127" s="145"/>
      <c r="E127" s="145"/>
      <c r="F127" s="145"/>
      <c r="G127" s="145"/>
      <c r="H127" s="145"/>
      <c r="I127" s="145"/>
      <c r="J127" s="145"/>
      <c r="K127" s="145"/>
      <c r="L127" s="145"/>
      <c r="M127" s="145"/>
    </row>
    <row r="128" spans="2:13" x14ac:dyDescent="0.3">
      <c r="B128" s="145"/>
      <c r="C128" s="145"/>
      <c r="D128" s="145"/>
      <c r="E128" s="145"/>
      <c r="F128" s="145"/>
      <c r="G128" s="145"/>
      <c r="H128" s="145"/>
      <c r="I128" s="145"/>
      <c r="J128" s="145"/>
      <c r="K128" s="145"/>
      <c r="L128" s="145"/>
      <c r="M128" s="145"/>
    </row>
    <row r="129" spans="1:13" x14ac:dyDescent="0.3">
      <c r="A129" s="145"/>
      <c r="B129" s="145"/>
      <c r="C129" s="145"/>
      <c r="D129" s="145"/>
      <c r="E129" s="145"/>
      <c r="F129" s="145"/>
      <c r="G129" s="145"/>
      <c r="H129" s="145"/>
      <c r="I129" s="145"/>
      <c r="J129" s="145"/>
      <c r="K129" s="145"/>
      <c r="L129" s="145"/>
      <c r="M129" s="145"/>
    </row>
    <row r="130" spans="1:13" x14ac:dyDescent="0.3">
      <c r="A130" s="145"/>
      <c r="B130" s="145"/>
      <c r="C130" s="145"/>
      <c r="D130" s="144"/>
      <c r="E130" s="145"/>
      <c r="F130" s="145"/>
      <c r="G130" s="145"/>
      <c r="H130" s="145"/>
      <c r="I130" s="145"/>
      <c r="J130" s="145"/>
      <c r="K130" s="145"/>
      <c r="L130" s="145"/>
      <c r="M130" s="145"/>
    </row>
    <row r="131" spans="1:13" x14ac:dyDescent="0.3">
      <c r="A131" s="145"/>
      <c r="B131" s="145"/>
      <c r="C131" s="145"/>
      <c r="D131" s="145"/>
      <c r="E131" s="145"/>
      <c r="F131" s="145"/>
      <c r="G131" s="145"/>
      <c r="H131" s="145"/>
      <c r="I131" s="145"/>
      <c r="J131" s="145"/>
      <c r="K131" s="145"/>
      <c r="L131" s="145"/>
      <c r="M131" s="145"/>
    </row>
    <row r="132" spans="1:13" x14ac:dyDescent="0.3">
      <c r="A132" s="145"/>
      <c r="B132" s="145"/>
      <c r="C132" s="145"/>
      <c r="D132" s="145"/>
      <c r="E132" s="145"/>
      <c r="F132" s="145"/>
      <c r="G132" s="145"/>
      <c r="H132" s="145"/>
      <c r="I132" s="145" t="s">
        <v>179</v>
      </c>
      <c r="K132" s="145"/>
      <c r="L132" s="145"/>
      <c r="M132" s="145"/>
    </row>
    <row r="133" spans="1:13" x14ac:dyDescent="0.3">
      <c r="A133" s="145"/>
      <c r="B133" s="145"/>
      <c r="C133" s="145"/>
      <c r="D133" s="145"/>
      <c r="E133" s="145"/>
      <c r="F133" s="145"/>
      <c r="G133" s="145"/>
      <c r="H133" s="145"/>
      <c r="I133" s="145"/>
      <c r="J133" s="145"/>
      <c r="K133" s="145"/>
      <c r="L133" s="145"/>
      <c r="M133" s="145"/>
    </row>
    <row r="134" spans="1:13" x14ac:dyDescent="0.3">
      <c r="A134" s="145"/>
      <c r="B134" s="145" t="s">
        <v>95</v>
      </c>
      <c r="C134" s="145"/>
      <c r="D134" s="145"/>
      <c r="E134" s="145"/>
      <c r="F134" s="145"/>
      <c r="G134" s="145"/>
      <c r="H134" s="145"/>
      <c r="I134" s="145"/>
      <c r="J134" s="145"/>
      <c r="K134" s="145"/>
      <c r="L134" s="145"/>
      <c r="M134" s="145"/>
    </row>
    <row r="135" spans="1:13" x14ac:dyDescent="0.3">
      <c r="A135" s="145"/>
      <c r="B135" s="145" t="s">
        <v>96</v>
      </c>
      <c r="C135" s="145"/>
      <c r="D135" s="145"/>
      <c r="E135" s="145"/>
      <c r="F135" s="145"/>
      <c r="G135" s="145"/>
      <c r="H135" s="145"/>
      <c r="I135" s="145"/>
      <c r="J135" s="145"/>
      <c r="K135" s="145"/>
      <c r="L135" s="145"/>
      <c r="M135" s="145"/>
    </row>
    <row r="136" spans="1:13" x14ac:dyDescent="0.3">
      <c r="A136" s="145"/>
      <c r="B136" s="145" t="s">
        <v>97</v>
      </c>
      <c r="C136" s="145"/>
      <c r="D136" s="145"/>
      <c r="E136" s="145"/>
      <c r="F136" s="145"/>
      <c r="G136" s="145"/>
      <c r="H136" s="145"/>
      <c r="I136" s="145"/>
      <c r="J136" s="145"/>
      <c r="K136" s="145"/>
      <c r="L136" s="145"/>
      <c r="M136" s="145"/>
    </row>
    <row r="137" spans="1:13" x14ac:dyDescent="0.3">
      <c r="A137" s="145"/>
      <c r="B137" s="145" t="s">
        <v>100</v>
      </c>
      <c r="D137" s="145"/>
      <c r="E137" s="145"/>
      <c r="F137" s="145"/>
      <c r="G137" s="145"/>
      <c r="H137" s="145"/>
      <c r="I137" t="s">
        <v>211</v>
      </c>
      <c r="L137" s="143" t="s">
        <v>212</v>
      </c>
    </row>
    <row r="138" spans="1:13" x14ac:dyDescent="0.3">
      <c r="A138" s="145"/>
      <c r="B138" s="145" t="s">
        <v>98</v>
      </c>
      <c r="C138" s="143" t="s">
        <v>99</v>
      </c>
      <c r="D138" s="145"/>
      <c r="E138" s="145"/>
      <c r="F138" s="145"/>
      <c r="G138" s="145"/>
      <c r="H138" s="145"/>
      <c r="I138" t="s">
        <v>180</v>
      </c>
      <c r="L138" s="143" t="s">
        <v>109</v>
      </c>
    </row>
    <row r="139" spans="1:13" x14ac:dyDescent="0.3">
      <c r="A139" s="145"/>
      <c r="B139" s="145" t="s">
        <v>107</v>
      </c>
      <c r="C139" s="143" t="s">
        <v>108</v>
      </c>
      <c r="D139" s="145"/>
      <c r="E139" s="145"/>
      <c r="F139" s="145"/>
      <c r="G139" s="145"/>
      <c r="H139" s="145"/>
      <c r="I139" t="s">
        <v>181</v>
      </c>
      <c r="L139" s="143" t="s">
        <v>182</v>
      </c>
    </row>
    <row r="140" spans="1:13" x14ac:dyDescent="0.3">
      <c r="A140" s="145"/>
      <c r="B140" s="145"/>
      <c r="C140" s="145"/>
      <c r="D140" s="145"/>
      <c r="E140" s="145"/>
      <c r="F140" s="145"/>
      <c r="G140" s="145"/>
      <c r="H140" s="145"/>
      <c r="I140" t="s">
        <v>188</v>
      </c>
      <c r="L140" s="143" t="s">
        <v>189</v>
      </c>
    </row>
    <row r="141" spans="1:13" x14ac:dyDescent="0.3">
      <c r="A141" s="145"/>
      <c r="B141" s="145"/>
      <c r="C141" s="145"/>
      <c r="D141" s="145"/>
      <c r="E141" s="145"/>
      <c r="F141" s="145"/>
      <c r="G141" s="145"/>
      <c r="H141" s="145"/>
      <c r="I141" t="s">
        <v>190</v>
      </c>
      <c r="L141" s="143" t="s">
        <v>191</v>
      </c>
    </row>
    <row r="142" spans="1:13" x14ac:dyDescent="0.3">
      <c r="A142" s="145"/>
      <c r="B142" s="145"/>
      <c r="C142" s="145"/>
      <c r="D142" s="145"/>
      <c r="E142" s="145"/>
      <c r="F142" s="145"/>
      <c r="G142" s="145"/>
      <c r="H142" s="145"/>
      <c r="I142" t="s">
        <v>183</v>
      </c>
      <c r="L142" s="143" t="s">
        <v>184</v>
      </c>
    </row>
    <row r="143" spans="1:13" x14ac:dyDescent="0.3">
      <c r="A143" s="145"/>
      <c r="B143" s="145"/>
      <c r="C143" s="145"/>
      <c r="D143" s="145"/>
      <c r="E143" s="145"/>
      <c r="F143" s="145"/>
      <c r="G143" s="145"/>
      <c r="H143" s="145"/>
      <c r="I143" t="s">
        <v>192</v>
      </c>
      <c r="K143" s="143"/>
      <c r="L143" s="143" t="s">
        <v>193</v>
      </c>
    </row>
    <row r="144" spans="1:13" x14ac:dyDescent="0.3">
      <c r="A144" s="145"/>
      <c r="B144" s="145"/>
      <c r="C144" s="145"/>
      <c r="D144" s="145"/>
      <c r="E144" s="145"/>
      <c r="F144" s="145"/>
      <c r="G144" s="145"/>
      <c r="H144" s="145"/>
      <c r="I144" s="145"/>
    </row>
    <row r="145" spans="1:2" x14ac:dyDescent="0.3">
      <c r="A145" s="145"/>
      <c r="B145" s="145"/>
    </row>
    <row r="146" spans="1:2" x14ac:dyDescent="0.3">
      <c r="A146" s="145"/>
    </row>
    <row r="147" spans="1:2" x14ac:dyDescent="0.3"/>
    <row r="148" spans="1:2" x14ac:dyDescent="0.3"/>
    <row r="149" spans="1:2" x14ac:dyDescent="0.3"/>
    <row r="150" spans="1:2" x14ac:dyDescent="0.3"/>
    <row r="151" spans="1:2" x14ac:dyDescent="0.3"/>
    <row r="152" spans="1:2" x14ac:dyDescent="0.3"/>
    <row r="153" spans="1:2" hidden="1" x14ac:dyDescent="0.3"/>
    <row r="154" spans="1:2" hidden="1" x14ac:dyDescent="0.3"/>
    <row r="155" spans="1:2" x14ac:dyDescent="0.3"/>
  </sheetData>
  <sheetProtection algorithmName="SHA-512" hashValue="UHA4dPDAfqYS4ZGvpg99TUNb7bNyURCNQgr4hb893e8/gNY5KyzJX7HXuGKupcXvtESqPlY/7H7hPAdp5R6QtA==" saltValue="iEgihxsMyd4Tl7v0wGUc9g==" spinCount="100000" sheet="1" objects="1" scenarios="1" selectLockedCells="1"/>
  <hyperlinks>
    <hyperlink ref="C138" r:id="rId1" xr:uid="{00000000-0004-0000-0200-000000000000}"/>
    <hyperlink ref="C139" r:id="rId2" xr:uid="{00000000-0004-0000-0200-000001000000}"/>
    <hyperlink ref="L138" r:id="rId3" xr:uid="{00000000-0004-0000-0200-000002000000}"/>
    <hyperlink ref="L139" r:id="rId4" xr:uid="{00000000-0004-0000-0200-000003000000}"/>
    <hyperlink ref="L142" r:id="rId5" xr:uid="{00000000-0004-0000-0200-000004000000}"/>
    <hyperlink ref="L140" r:id="rId6" xr:uid="{00000000-0004-0000-0200-000005000000}"/>
    <hyperlink ref="L141" r:id="rId7" xr:uid="{00000000-0004-0000-0200-000006000000}"/>
    <hyperlink ref="L143" r:id="rId8" xr:uid="{00000000-0004-0000-0200-000007000000}"/>
    <hyperlink ref="L137" r:id="rId9" xr:uid="{00000000-0004-0000-0200-000008000000}"/>
  </hyperlinks>
  <pageMargins left="0.7" right="0.7" top="0.38541666666666669" bottom="0.75" header="0.3" footer="0.3"/>
  <pageSetup paperSize="9" orientation="landscape"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I81"/>
  <sheetViews>
    <sheetView topLeftCell="A49" workbookViewId="0">
      <selection activeCell="C77" sqref="C77"/>
    </sheetView>
  </sheetViews>
  <sheetFormatPr defaultRowHeight="14.4" x14ac:dyDescent="0.3"/>
  <cols>
    <col min="1" max="1" width="28.5546875" customWidth="1"/>
    <col min="2" max="2" width="12.44140625" customWidth="1"/>
    <col min="3" max="3" width="14.5546875" customWidth="1"/>
  </cols>
  <sheetData>
    <row r="1" spans="1:8" x14ac:dyDescent="0.3">
      <c r="A1" s="12"/>
      <c r="B1" s="13"/>
      <c r="C1" s="13"/>
      <c r="D1" s="13"/>
      <c r="E1" s="13"/>
      <c r="F1" s="13"/>
      <c r="G1" s="13"/>
      <c r="H1" s="14"/>
    </row>
    <row r="2" spans="1:8" x14ac:dyDescent="0.3">
      <c r="A2" s="15" t="s">
        <v>1</v>
      </c>
      <c r="B2" s="16">
        <v>1</v>
      </c>
      <c r="C2" s="16" t="str">
        <f>VLOOKUP(B2,F2:G4,2,FALSE)</f>
        <v>Budgetplaatsen</v>
      </c>
      <c r="D2" s="16"/>
      <c r="E2" s="16"/>
      <c r="F2" s="16">
        <v>1</v>
      </c>
      <c r="G2" s="33" t="s">
        <v>2</v>
      </c>
      <c r="H2" s="17"/>
    </row>
    <row r="3" spans="1:8" x14ac:dyDescent="0.3">
      <c r="A3" s="15"/>
      <c r="B3" s="16"/>
      <c r="C3" s="16"/>
      <c r="D3" s="16"/>
      <c r="E3" s="16"/>
      <c r="F3" s="16">
        <v>2</v>
      </c>
      <c r="G3" s="33" t="s">
        <v>203</v>
      </c>
      <c r="H3" s="17"/>
    </row>
    <row r="4" spans="1:8" x14ac:dyDescent="0.3">
      <c r="A4" s="15"/>
      <c r="B4" s="16"/>
      <c r="C4" s="16"/>
      <c r="D4" s="16"/>
      <c r="E4" s="16"/>
      <c r="F4" s="16">
        <v>3</v>
      </c>
      <c r="G4" s="33" t="s">
        <v>3</v>
      </c>
      <c r="H4" s="17"/>
    </row>
    <row r="5" spans="1:8" x14ac:dyDescent="0.3">
      <c r="A5" s="15"/>
      <c r="B5" s="16"/>
      <c r="C5" s="16"/>
      <c r="D5" s="16"/>
      <c r="E5" s="16"/>
      <c r="F5" s="16"/>
      <c r="G5" s="16"/>
      <c r="H5" s="17"/>
    </row>
    <row r="6" spans="1:8" x14ac:dyDescent="0.3">
      <c r="A6" s="15"/>
      <c r="B6" s="16" t="b">
        <v>0</v>
      </c>
      <c r="C6" s="33" t="s">
        <v>149</v>
      </c>
      <c r="D6" s="16"/>
      <c r="E6" s="16"/>
      <c r="F6" s="16"/>
      <c r="G6" s="16"/>
      <c r="H6" s="17"/>
    </row>
    <row r="7" spans="1:8" x14ac:dyDescent="0.3">
      <c r="A7" s="15"/>
      <c r="B7" s="16" t="b">
        <v>0</v>
      </c>
      <c r="C7" s="33" t="s">
        <v>171</v>
      </c>
      <c r="D7" s="16"/>
      <c r="E7" s="16"/>
      <c r="F7" s="16"/>
      <c r="G7" s="16"/>
      <c r="H7" s="17"/>
    </row>
    <row r="8" spans="1:8" x14ac:dyDescent="0.3">
      <c r="A8" s="15"/>
      <c r="B8" s="16" t="b">
        <v>0</v>
      </c>
      <c r="C8" s="33" t="s">
        <v>7</v>
      </c>
      <c r="D8" s="16"/>
      <c r="E8" s="16"/>
      <c r="F8" s="16"/>
      <c r="G8" s="16"/>
      <c r="H8" s="17"/>
    </row>
    <row r="9" spans="1:8" x14ac:dyDescent="0.3">
      <c r="A9" s="15"/>
      <c r="B9" s="16" t="b">
        <v>0</v>
      </c>
      <c r="C9" s="33" t="s">
        <v>136</v>
      </c>
      <c r="D9" s="16"/>
      <c r="E9" s="16"/>
      <c r="F9" s="16"/>
      <c r="G9" s="16"/>
      <c r="H9" s="17"/>
    </row>
    <row r="10" spans="1:8" x14ac:dyDescent="0.3">
      <c r="A10" s="15"/>
      <c r="B10" s="16" t="b">
        <v>0</v>
      </c>
      <c r="C10" s="33" t="s">
        <v>8</v>
      </c>
      <c r="D10" s="16"/>
      <c r="E10" s="16"/>
      <c r="F10" s="16"/>
      <c r="G10" s="16"/>
      <c r="H10" s="17"/>
    </row>
    <row r="11" spans="1:8" ht="15.75" customHeight="1" x14ac:dyDescent="0.3">
      <c r="A11" s="15"/>
      <c r="B11" s="16" t="b">
        <v>0</v>
      </c>
      <c r="C11" s="33" t="s">
        <v>163</v>
      </c>
      <c r="D11" s="16"/>
      <c r="E11" s="16"/>
      <c r="F11" s="16"/>
      <c r="G11" s="16"/>
      <c r="H11" s="17"/>
    </row>
    <row r="12" spans="1:8" ht="15.75" customHeight="1" x14ac:dyDescent="0.3">
      <c r="A12" s="15"/>
      <c r="B12" s="16" t="b">
        <v>0</v>
      </c>
      <c r="C12" s="33" t="s">
        <v>174</v>
      </c>
      <c r="D12" s="16"/>
      <c r="E12" s="16"/>
      <c r="F12" s="16"/>
      <c r="G12" s="16"/>
      <c r="H12" s="17"/>
    </row>
    <row r="13" spans="1:8" x14ac:dyDescent="0.3">
      <c r="A13" s="15"/>
      <c r="B13" s="16"/>
      <c r="C13" s="33" t="s">
        <v>150</v>
      </c>
      <c r="D13" s="16"/>
      <c r="E13" s="16"/>
      <c r="F13" s="16"/>
      <c r="G13" s="16"/>
      <c r="H13" s="17"/>
    </row>
    <row r="14" spans="1:8" x14ac:dyDescent="0.3">
      <c r="A14" s="15"/>
      <c r="B14" s="16">
        <v>1</v>
      </c>
      <c r="C14" s="33" t="s">
        <v>151</v>
      </c>
      <c r="D14" s="16"/>
      <c r="E14" s="16"/>
      <c r="F14" s="16"/>
      <c r="G14" s="16"/>
      <c r="H14" s="17"/>
    </row>
    <row r="15" spans="1:8" x14ac:dyDescent="0.3">
      <c r="A15" s="15"/>
      <c r="B15" s="16"/>
      <c r="C15" s="33" t="s">
        <v>152</v>
      </c>
      <c r="D15" s="16"/>
      <c r="E15" s="16"/>
      <c r="F15" s="16"/>
      <c r="G15" s="16"/>
      <c r="H15" s="17"/>
    </row>
    <row r="16" spans="1:8" x14ac:dyDescent="0.3">
      <c r="A16" s="18"/>
      <c r="B16" s="19"/>
      <c r="C16" s="34"/>
      <c r="D16" s="19"/>
      <c r="E16" s="19"/>
      <c r="F16" s="19"/>
      <c r="G16" s="19"/>
      <c r="H16" s="20"/>
    </row>
    <row r="18" spans="1:9" x14ac:dyDescent="0.3">
      <c r="A18" s="12" t="s">
        <v>36</v>
      </c>
      <c r="B18" s="31">
        <v>0.06</v>
      </c>
      <c r="C18" s="13"/>
      <c r="D18" s="146" t="s">
        <v>162</v>
      </c>
      <c r="E18" s="14"/>
    </row>
    <row r="19" spans="1:9" x14ac:dyDescent="0.3">
      <c r="A19" s="18" t="s">
        <v>73</v>
      </c>
      <c r="B19" s="32">
        <f>Aantalplaatsen*Businesstool!B16*2</f>
        <v>600</v>
      </c>
      <c r="C19" s="19"/>
      <c r="D19" s="19"/>
      <c r="E19" s="20"/>
    </row>
    <row r="20" spans="1:9" x14ac:dyDescent="0.3">
      <c r="B20" s="3"/>
    </row>
    <row r="21" spans="1:9" ht="21" x14ac:dyDescent="0.4">
      <c r="A21" s="4" t="s">
        <v>65</v>
      </c>
      <c r="B21" s="3"/>
    </row>
    <row r="22" spans="1:9" ht="18" x14ac:dyDescent="0.35">
      <c r="A22" s="21" t="s">
        <v>74</v>
      </c>
      <c r="B22" s="13" t="s">
        <v>61</v>
      </c>
      <c r="C22" s="13" t="s">
        <v>202</v>
      </c>
      <c r="D22" s="13" t="s">
        <v>63</v>
      </c>
      <c r="E22" s="14"/>
      <c r="G22" t="s">
        <v>117</v>
      </c>
    </row>
    <row r="23" spans="1:9" x14ac:dyDescent="0.3">
      <c r="A23" s="15" t="s">
        <v>50</v>
      </c>
      <c r="B23" s="16">
        <v>1</v>
      </c>
      <c r="C23" s="16">
        <v>2</v>
      </c>
      <c r="D23" s="16">
        <v>3</v>
      </c>
      <c r="E23" s="17"/>
      <c r="G23" s="12">
        <v>1</v>
      </c>
      <c r="H23" s="13">
        <v>2</v>
      </c>
      <c r="I23" s="14">
        <v>3</v>
      </c>
    </row>
    <row r="24" spans="1:9" x14ac:dyDescent="0.3">
      <c r="A24" s="15" t="s">
        <v>57</v>
      </c>
      <c r="B24" s="16">
        <v>105</v>
      </c>
      <c r="C24" s="16">
        <f>B24+27</f>
        <v>132</v>
      </c>
      <c r="D24" s="16">
        <v>150</v>
      </c>
      <c r="E24" s="17"/>
      <c r="G24" s="15">
        <v>275</v>
      </c>
      <c r="H24" s="16">
        <f>G24+25</f>
        <v>300</v>
      </c>
      <c r="I24" s="17">
        <f>H24+25</f>
        <v>325</v>
      </c>
    </row>
    <row r="25" spans="1:9" x14ac:dyDescent="0.3">
      <c r="A25" s="15" t="s">
        <v>58</v>
      </c>
      <c r="B25" s="16">
        <v>65</v>
      </c>
      <c r="C25" s="16"/>
      <c r="D25" s="16"/>
      <c r="E25" s="17"/>
      <c r="G25" s="15">
        <v>150</v>
      </c>
      <c r="H25" s="16"/>
      <c r="I25" s="17"/>
    </row>
    <row r="26" spans="1:9" x14ac:dyDescent="0.3">
      <c r="A26" s="15" t="s">
        <v>157</v>
      </c>
      <c r="B26" s="33">
        <v>-30</v>
      </c>
      <c r="C26" s="16"/>
      <c r="D26" s="16"/>
      <c r="E26" s="17"/>
      <c r="G26" s="15"/>
      <c r="H26" s="16"/>
      <c r="I26" s="17"/>
    </row>
    <row r="27" spans="1:9" x14ac:dyDescent="0.3">
      <c r="A27" s="15" t="s">
        <v>9</v>
      </c>
      <c r="B27" s="16">
        <v>-30</v>
      </c>
      <c r="C27" s="16"/>
      <c r="D27" s="16"/>
      <c r="E27" s="17"/>
      <c r="G27" s="18">
        <v>-75</v>
      </c>
      <c r="H27" s="19"/>
      <c r="I27" s="20"/>
    </row>
    <row r="28" spans="1:9" x14ac:dyDescent="0.3">
      <c r="A28" s="15"/>
      <c r="B28" s="16"/>
      <c r="C28" s="16"/>
      <c r="D28" s="16"/>
      <c r="E28" s="17"/>
    </row>
    <row r="29" spans="1:9" x14ac:dyDescent="0.3">
      <c r="A29" s="15"/>
      <c r="B29" s="16"/>
      <c r="C29" s="16"/>
      <c r="D29" s="16"/>
      <c r="E29" s="17"/>
    </row>
    <row r="30" spans="1:9" x14ac:dyDescent="0.3">
      <c r="A30" s="22" t="s">
        <v>59</v>
      </c>
      <c r="B30" s="16">
        <f>HLOOKUP(Soort_plaatsen,B23:D24,2,TRUE)</f>
        <v>105</v>
      </c>
      <c r="C30" s="16"/>
      <c r="D30" s="16"/>
      <c r="E30" s="17"/>
    </row>
    <row r="31" spans="1:9" x14ac:dyDescent="0.3">
      <c r="A31" s="15" t="s">
        <v>60</v>
      </c>
      <c r="B31" s="16">
        <f>IF(B8,B25,0)</f>
        <v>0</v>
      </c>
      <c r="C31" s="16"/>
      <c r="D31" s="16"/>
      <c r="E31" s="17"/>
    </row>
    <row r="32" spans="1:9" x14ac:dyDescent="0.3">
      <c r="A32" s="15" t="s">
        <v>158</v>
      </c>
      <c r="B32" s="16">
        <f>IF(B14=2,B26,0)</f>
        <v>0</v>
      </c>
      <c r="C32" s="16"/>
      <c r="D32" s="16"/>
      <c r="E32" s="17"/>
    </row>
    <row r="33" spans="1:5" x14ac:dyDescent="0.3">
      <c r="A33" s="15" t="s">
        <v>9</v>
      </c>
      <c r="B33" s="16">
        <f>IF(B14=3,B27,0)</f>
        <v>0</v>
      </c>
      <c r="C33" s="16"/>
      <c r="D33" s="16"/>
      <c r="E33" s="17"/>
    </row>
    <row r="34" spans="1:5" x14ac:dyDescent="0.3">
      <c r="A34" s="15" t="s">
        <v>64</v>
      </c>
      <c r="B34" s="23">
        <f>SUM(B30:B33)</f>
        <v>105</v>
      </c>
      <c r="C34" s="16" t="s">
        <v>66</v>
      </c>
      <c r="D34" s="16"/>
      <c r="E34" s="17"/>
    </row>
    <row r="35" spans="1:5" x14ac:dyDescent="0.3">
      <c r="A35" s="15"/>
      <c r="B35" s="16"/>
      <c r="C35" s="16"/>
      <c r="D35" s="16"/>
      <c r="E35" s="17"/>
    </row>
    <row r="36" spans="1:5" ht="18" x14ac:dyDescent="0.35">
      <c r="A36" s="24" t="s">
        <v>75</v>
      </c>
      <c r="B36" s="16"/>
      <c r="C36" s="16"/>
      <c r="D36" s="16"/>
      <c r="E36" s="17"/>
    </row>
    <row r="37" spans="1:5" x14ac:dyDescent="0.3">
      <c r="A37" s="15" t="s">
        <v>50</v>
      </c>
      <c r="B37" s="16">
        <v>1</v>
      </c>
      <c r="C37" s="16">
        <v>2</v>
      </c>
      <c r="D37" s="16">
        <v>3</v>
      </c>
      <c r="E37" s="17"/>
    </row>
    <row r="38" spans="1:5" x14ac:dyDescent="0.3">
      <c r="A38" s="15" t="s">
        <v>57</v>
      </c>
      <c r="B38" s="16">
        <v>1.33</v>
      </c>
      <c r="C38" s="16">
        <v>1.35</v>
      </c>
      <c r="D38" s="16">
        <v>1.4</v>
      </c>
      <c r="E38" s="17"/>
    </row>
    <row r="39" spans="1:5" x14ac:dyDescent="0.3">
      <c r="A39" s="15" t="s">
        <v>58</v>
      </c>
      <c r="B39" s="16">
        <v>0.65</v>
      </c>
      <c r="C39" s="16"/>
      <c r="D39" s="16"/>
      <c r="E39" s="17"/>
    </row>
    <row r="40" spans="1:5" x14ac:dyDescent="0.3">
      <c r="A40" s="15" t="s">
        <v>154</v>
      </c>
      <c r="B40" s="33">
        <v>0.22</v>
      </c>
      <c r="C40" s="16"/>
      <c r="D40" s="16"/>
      <c r="E40" s="17"/>
    </row>
    <row r="41" spans="1:5" x14ac:dyDescent="0.3">
      <c r="A41" s="15" t="s">
        <v>151</v>
      </c>
      <c r="B41" s="33">
        <v>-0.5</v>
      </c>
      <c r="C41" s="16"/>
      <c r="D41" s="16"/>
      <c r="E41" s="17"/>
    </row>
    <row r="42" spans="1:5" x14ac:dyDescent="0.3">
      <c r="A42" s="15" t="s">
        <v>9</v>
      </c>
      <c r="B42" s="16">
        <v>-0.8</v>
      </c>
      <c r="C42" s="16"/>
      <c r="D42" s="16"/>
      <c r="E42" s="17"/>
    </row>
    <row r="43" spans="1:5" x14ac:dyDescent="0.3">
      <c r="A43" s="15"/>
      <c r="B43" s="16"/>
      <c r="C43" s="16"/>
      <c r="D43" s="16"/>
      <c r="E43" s="17"/>
    </row>
    <row r="44" spans="1:5" x14ac:dyDescent="0.3">
      <c r="A44" s="22" t="s">
        <v>59</v>
      </c>
      <c r="B44" s="16">
        <f>HLOOKUP(Soort_plaatsen,B37:D38,2,TRUE)</f>
        <v>1.33</v>
      </c>
      <c r="C44" s="16"/>
      <c r="D44" s="16"/>
      <c r="E44" s="17"/>
    </row>
    <row r="45" spans="1:5" x14ac:dyDescent="0.3">
      <c r="A45" s="15" t="s">
        <v>60</v>
      </c>
      <c r="B45" s="16">
        <f>IF(B8,B39,0)</f>
        <v>0</v>
      </c>
      <c r="C45" s="16"/>
      <c r="D45" s="16"/>
      <c r="E45" s="17"/>
    </row>
    <row r="46" spans="1:5" x14ac:dyDescent="0.3">
      <c r="A46" s="15" t="s">
        <v>155</v>
      </c>
      <c r="B46" s="16">
        <f>IF(B10,B40,0)</f>
        <v>0</v>
      </c>
      <c r="C46" s="16"/>
      <c r="D46" s="16"/>
      <c r="E46" s="17"/>
    </row>
    <row r="47" spans="1:5" x14ac:dyDescent="0.3">
      <c r="A47" s="15" t="s">
        <v>156</v>
      </c>
      <c r="B47" s="16">
        <f>IF(B14=2,B41,0)</f>
        <v>0</v>
      </c>
      <c r="C47" s="16"/>
      <c r="D47" s="16"/>
      <c r="E47" s="17"/>
    </row>
    <row r="48" spans="1:5" x14ac:dyDescent="0.3">
      <c r="A48" s="15" t="s">
        <v>9</v>
      </c>
      <c r="B48" s="16">
        <f>IF(B14=3,B42,0)</f>
        <v>0</v>
      </c>
      <c r="C48" s="16"/>
      <c r="D48" s="16"/>
      <c r="E48" s="17"/>
    </row>
    <row r="49" spans="1:5" x14ac:dyDescent="0.3">
      <c r="A49" s="15" t="s">
        <v>64</v>
      </c>
      <c r="B49" s="23">
        <f>SUM(B44:B48)</f>
        <v>1.33</v>
      </c>
      <c r="C49" s="16" t="s">
        <v>72</v>
      </c>
      <c r="D49" s="16"/>
      <c r="E49" s="17"/>
    </row>
    <row r="50" spans="1:5" x14ac:dyDescent="0.3">
      <c r="A50" s="18"/>
      <c r="B50" s="19"/>
      <c r="C50" s="19"/>
      <c r="D50" s="19"/>
      <c r="E50" s="20"/>
    </row>
    <row r="52" spans="1:5" x14ac:dyDescent="0.3">
      <c r="A52" s="12"/>
      <c r="B52" s="13"/>
      <c r="C52" s="13"/>
      <c r="D52" s="13"/>
      <c r="E52" s="14"/>
    </row>
    <row r="53" spans="1:5" ht="21" x14ac:dyDescent="0.4">
      <c r="A53" s="25" t="s">
        <v>67</v>
      </c>
      <c r="B53" s="16"/>
      <c r="C53" s="16"/>
      <c r="D53" s="16"/>
      <c r="E53" s="17"/>
    </row>
    <row r="54" spans="1:5" x14ac:dyDescent="0.3">
      <c r="A54" s="15"/>
      <c r="B54" s="16"/>
      <c r="C54" s="16"/>
      <c r="D54" s="16"/>
      <c r="E54" s="17"/>
    </row>
    <row r="55" spans="1:5" x14ac:dyDescent="0.3">
      <c r="A55" s="15"/>
      <c r="B55" s="16" t="s">
        <v>61</v>
      </c>
      <c r="C55" s="26" t="s">
        <v>62</v>
      </c>
      <c r="D55" s="16" t="s">
        <v>63</v>
      </c>
      <c r="E55" s="17"/>
    </row>
    <row r="56" spans="1:5" x14ac:dyDescent="0.3">
      <c r="A56" s="15"/>
      <c r="B56" s="16">
        <v>1</v>
      </c>
      <c r="C56" s="16">
        <v>2</v>
      </c>
      <c r="D56" s="16">
        <v>3</v>
      </c>
      <c r="E56" s="17"/>
    </row>
    <row r="57" spans="1:5" x14ac:dyDescent="0.3">
      <c r="A57" s="15" t="s">
        <v>57</v>
      </c>
      <c r="B57" s="16">
        <v>280</v>
      </c>
      <c r="C57" s="16">
        <f>B57+26.5</f>
        <v>306.5</v>
      </c>
      <c r="D57" s="16">
        <f>C57+26.5</f>
        <v>333</v>
      </c>
      <c r="E57" s="17"/>
    </row>
    <row r="58" spans="1:5" x14ac:dyDescent="0.3">
      <c r="A58" s="15" t="s">
        <v>58</v>
      </c>
      <c r="B58" s="16">
        <v>106</v>
      </c>
      <c r="C58" s="16"/>
      <c r="D58" s="16"/>
      <c r="E58" s="17"/>
    </row>
    <row r="59" spans="1:5" x14ac:dyDescent="0.3">
      <c r="A59" s="15" t="s">
        <v>131</v>
      </c>
      <c r="B59" s="33">
        <v>11</v>
      </c>
      <c r="C59" s="16"/>
      <c r="D59" s="16"/>
      <c r="E59" s="17"/>
    </row>
    <row r="60" spans="1:5" x14ac:dyDescent="0.3">
      <c r="A60" s="15" t="s">
        <v>153</v>
      </c>
      <c r="B60" s="33">
        <v>16</v>
      </c>
      <c r="C60" s="16"/>
      <c r="D60" s="16"/>
      <c r="E60" s="17"/>
    </row>
    <row r="61" spans="1:5" x14ac:dyDescent="0.3">
      <c r="A61" s="15" t="s">
        <v>9</v>
      </c>
      <c r="B61" s="16">
        <v>26</v>
      </c>
      <c r="C61" s="16"/>
      <c r="D61" s="16"/>
      <c r="E61" s="17"/>
    </row>
    <row r="62" spans="1:5" x14ac:dyDescent="0.3">
      <c r="A62" s="15"/>
      <c r="B62" s="16"/>
      <c r="C62" s="16"/>
      <c r="D62" s="16"/>
      <c r="E62" s="17"/>
    </row>
    <row r="63" spans="1:5" x14ac:dyDescent="0.3">
      <c r="A63" s="22" t="s">
        <v>68</v>
      </c>
      <c r="B63" s="16">
        <f>HLOOKUP(Soort_plaatsen,B56:D57,2,TRUE)</f>
        <v>280</v>
      </c>
      <c r="C63" s="16"/>
      <c r="D63" s="16"/>
      <c r="E63" s="17"/>
    </row>
    <row r="64" spans="1:5" x14ac:dyDescent="0.3">
      <c r="A64" s="15" t="s">
        <v>60</v>
      </c>
      <c r="B64" s="16">
        <f>IF(B8,B58,0)</f>
        <v>0</v>
      </c>
      <c r="C64" s="16"/>
      <c r="D64" s="16"/>
      <c r="E64" s="17"/>
    </row>
    <row r="65" spans="1:5" x14ac:dyDescent="0.3">
      <c r="A65" s="15" t="s">
        <v>131</v>
      </c>
      <c r="B65" s="16">
        <f>IF(B9,B59,0)</f>
        <v>0</v>
      </c>
      <c r="C65" s="16"/>
      <c r="D65" s="16"/>
      <c r="E65" s="17"/>
    </row>
    <row r="66" spans="1:5" x14ac:dyDescent="0.3">
      <c r="A66" s="15" t="s">
        <v>153</v>
      </c>
      <c r="B66" s="16">
        <f>IF(B14=2,B60,0)</f>
        <v>0</v>
      </c>
      <c r="C66" s="16"/>
      <c r="D66" s="16"/>
      <c r="E66" s="17"/>
    </row>
    <row r="67" spans="1:5" x14ac:dyDescent="0.3">
      <c r="A67" s="15" t="s">
        <v>9</v>
      </c>
      <c r="B67" s="16">
        <f>IF(B14=3,B61,0)</f>
        <v>0</v>
      </c>
      <c r="C67" s="16"/>
      <c r="D67" s="16"/>
      <c r="E67" s="17"/>
    </row>
    <row r="68" spans="1:5" x14ac:dyDescent="0.3">
      <c r="A68" s="15" t="s">
        <v>122</v>
      </c>
      <c r="B68" s="23">
        <f>SUM(B63:B67)</f>
        <v>280</v>
      </c>
      <c r="C68" s="16" t="s">
        <v>66</v>
      </c>
      <c r="D68" s="16"/>
      <c r="E68" s="17"/>
    </row>
    <row r="69" spans="1:5" x14ac:dyDescent="0.3">
      <c r="A69" s="18"/>
      <c r="B69" s="19"/>
      <c r="C69" s="19"/>
      <c r="D69" s="19"/>
      <c r="E69" s="20"/>
    </row>
    <row r="71" spans="1:5" ht="21" x14ac:dyDescent="0.4">
      <c r="A71" s="27" t="s">
        <v>86</v>
      </c>
      <c r="B71" s="13"/>
      <c r="C71" s="13"/>
      <c r="D71" s="13"/>
      <c r="E71" s="14"/>
    </row>
    <row r="72" spans="1:5" x14ac:dyDescent="0.3">
      <c r="A72" s="15"/>
      <c r="B72" s="16" t="s">
        <v>37</v>
      </c>
      <c r="C72" s="16" t="s">
        <v>82</v>
      </c>
      <c r="D72" s="16"/>
      <c r="E72" s="17"/>
    </row>
    <row r="73" spans="1:5" x14ac:dyDescent="0.3">
      <c r="A73" s="15" t="s">
        <v>37</v>
      </c>
      <c r="B73" s="28">
        <f>Businesstool!S9</f>
        <v>3537.7358490566039</v>
      </c>
      <c r="C73" s="16"/>
      <c r="D73" s="16"/>
      <c r="E73" s="17"/>
    </row>
    <row r="74" spans="1:5" x14ac:dyDescent="0.3">
      <c r="A74" s="15" t="s">
        <v>50</v>
      </c>
      <c r="B74" s="16"/>
      <c r="C74" s="28">
        <f>Businesstool!S11</f>
        <v>1323</v>
      </c>
      <c r="D74" s="16"/>
      <c r="E74" s="17"/>
    </row>
    <row r="75" spans="1:5" x14ac:dyDescent="0.3">
      <c r="A75" s="15" t="s">
        <v>83</v>
      </c>
      <c r="B75" s="16"/>
      <c r="C75" s="28">
        <f>Businesstool!S12</f>
        <v>1400</v>
      </c>
      <c r="D75" s="16"/>
      <c r="E75" s="17"/>
    </row>
    <row r="76" spans="1:5" x14ac:dyDescent="0.3">
      <c r="A76" s="15" t="s">
        <v>38</v>
      </c>
      <c r="B76" s="16"/>
      <c r="C76" s="29">
        <f>Businesstool!S18</f>
        <v>478.75</v>
      </c>
      <c r="D76" s="16"/>
      <c r="E76" s="17"/>
    </row>
    <row r="77" spans="1:5" x14ac:dyDescent="0.3">
      <c r="A77" s="15" t="s">
        <v>39</v>
      </c>
      <c r="B77" s="16"/>
      <c r="C77" s="29">
        <f>Businesstool!S19</f>
        <v>179</v>
      </c>
      <c r="D77" s="16"/>
      <c r="E77" s="17"/>
    </row>
    <row r="78" spans="1:5" x14ac:dyDescent="0.3">
      <c r="A78" s="15" t="str">
        <f>IF(Businesstool!S22&gt;0,"","Verlies")</f>
        <v/>
      </c>
      <c r="B78" s="30">
        <f>IF(Businesstool!S22&lt;0,Businesstool!S22*-1,0)</f>
        <v>0</v>
      </c>
      <c r="C78" s="16"/>
      <c r="D78" s="16"/>
      <c r="E78" s="17"/>
    </row>
    <row r="79" spans="1:5" x14ac:dyDescent="0.3">
      <c r="A79" s="15" t="str">
        <f>IF(Businesstool!S22&lt;0,"","Winst")</f>
        <v>Winst</v>
      </c>
      <c r="B79" s="16"/>
      <c r="C79" s="30">
        <f>IF(Businesstool!S22&gt;0,Businesstool!S22,0)</f>
        <v>156.98584905660391</v>
      </c>
      <c r="D79" s="16"/>
      <c r="E79" s="17"/>
    </row>
    <row r="80" spans="1:5" x14ac:dyDescent="0.3">
      <c r="A80" s="15"/>
      <c r="B80" s="16"/>
      <c r="C80" s="16"/>
      <c r="D80" s="16"/>
      <c r="E80" s="17"/>
    </row>
    <row r="81" spans="1:5" x14ac:dyDescent="0.3">
      <c r="A81" s="18"/>
      <c r="B81" s="19"/>
      <c r="C81" s="19"/>
      <c r="D81" s="19"/>
      <c r="E81" s="2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O74"/>
  <sheetViews>
    <sheetView workbookViewId="0">
      <selection activeCell="I8" sqref="I8"/>
    </sheetView>
  </sheetViews>
  <sheetFormatPr defaultRowHeight="14.4" x14ac:dyDescent="0.3"/>
  <cols>
    <col min="1" max="1" width="51.109375" customWidth="1"/>
    <col min="2" max="2" width="9.44140625" bestFit="1" customWidth="1"/>
    <col min="5" max="5" width="2.88671875" customWidth="1"/>
    <col min="7" max="7" width="8.109375" customWidth="1"/>
    <col min="8" max="8" width="8.33203125" customWidth="1"/>
    <col min="9" max="10" width="11.44140625" customWidth="1"/>
    <col min="11" max="11" width="18.5546875" customWidth="1"/>
  </cols>
  <sheetData>
    <row r="1" spans="1:13" ht="21" x14ac:dyDescent="0.4">
      <c r="A1" s="45" t="s">
        <v>120</v>
      </c>
      <c r="B1" s="46">
        <v>1</v>
      </c>
      <c r="C1" s="46">
        <v>2</v>
      </c>
      <c r="D1" s="46">
        <v>3</v>
      </c>
      <c r="E1" s="46"/>
      <c r="F1" s="46" t="s">
        <v>25</v>
      </c>
      <c r="G1" s="46" t="s">
        <v>40</v>
      </c>
      <c r="H1" s="46"/>
      <c r="I1" s="46" t="s">
        <v>29</v>
      </c>
      <c r="J1" s="46"/>
      <c r="K1" s="54" t="s">
        <v>42</v>
      </c>
      <c r="L1" s="55" t="s">
        <v>43</v>
      </c>
      <c r="M1" s="56"/>
    </row>
    <row r="2" spans="1:13" x14ac:dyDescent="0.3">
      <c r="A2" s="39" t="s">
        <v>19</v>
      </c>
      <c r="B2" s="39">
        <v>24</v>
      </c>
      <c r="C2" s="39">
        <v>50</v>
      </c>
      <c r="D2" s="39">
        <v>80</v>
      </c>
      <c r="E2" s="39"/>
      <c r="F2" s="39">
        <f>Aantalplaatsen</f>
        <v>5</v>
      </c>
      <c r="G2" s="39">
        <f>HLOOKUP(Soort_plaatsen,$B$1:$D$35,2,FALSE)</f>
        <v>24</v>
      </c>
      <c r="H2" s="39"/>
      <c r="I2" s="39"/>
      <c r="J2" s="39" t="s">
        <v>127</v>
      </c>
      <c r="K2" s="57"/>
      <c r="L2" s="58">
        <f>F2*G2</f>
        <v>120</v>
      </c>
      <c r="M2" s="59"/>
    </row>
    <row r="3" spans="1:13" x14ac:dyDescent="0.3">
      <c r="A3" s="39" t="s">
        <v>20</v>
      </c>
      <c r="B3" s="39">
        <v>100</v>
      </c>
      <c r="C3" s="39">
        <v>130</v>
      </c>
      <c r="D3" s="39">
        <v>160</v>
      </c>
      <c r="E3" s="39"/>
      <c r="F3" s="39">
        <f>Aantalplaatsen</f>
        <v>5</v>
      </c>
      <c r="G3" s="39">
        <f>HLOOKUP(Soort_plaatsen,$B$1:$D$35,3,FALSE)</f>
        <v>100</v>
      </c>
      <c r="H3" s="39"/>
      <c r="I3" s="39"/>
      <c r="J3" s="39" t="s">
        <v>127</v>
      </c>
      <c r="K3" s="60">
        <f>F3*G3</f>
        <v>500</v>
      </c>
      <c r="L3" s="61"/>
      <c r="M3" s="62"/>
    </row>
    <row r="4" spans="1:13" x14ac:dyDescent="0.3">
      <c r="A4" s="39"/>
      <c r="B4" s="39"/>
      <c r="C4" s="39"/>
      <c r="D4" s="39"/>
      <c r="E4" s="39"/>
      <c r="F4" s="39"/>
      <c r="G4" s="39"/>
      <c r="H4" s="39"/>
      <c r="I4" s="39"/>
      <c r="J4" s="39"/>
      <c r="K4" s="39"/>
      <c r="L4" s="39"/>
      <c r="M4" s="39"/>
    </row>
    <row r="5" spans="1:13" x14ac:dyDescent="0.3">
      <c r="A5" s="46" t="s">
        <v>27</v>
      </c>
      <c r="B5" s="39"/>
      <c r="C5" s="39"/>
      <c r="D5" s="39"/>
      <c r="E5" s="39"/>
      <c r="F5" s="39"/>
      <c r="G5" s="39"/>
      <c r="H5" s="39"/>
      <c r="I5" s="39"/>
      <c r="J5" s="39"/>
      <c r="K5" s="39"/>
      <c r="L5" s="39"/>
      <c r="M5" s="39"/>
    </row>
    <row r="6" spans="1:13" x14ac:dyDescent="0.3">
      <c r="A6" s="39" t="s">
        <v>11</v>
      </c>
      <c r="B6" s="39">
        <f>250+15</f>
        <v>265</v>
      </c>
      <c r="C6" s="39">
        <f>375+25</f>
        <v>400</v>
      </c>
      <c r="D6" s="39">
        <f>550+150</f>
        <v>700</v>
      </c>
      <c r="E6" s="39"/>
      <c r="F6" s="39"/>
      <c r="G6" s="39"/>
      <c r="H6" s="39"/>
      <c r="I6" s="39"/>
      <c r="J6" s="39" t="s">
        <v>126</v>
      </c>
      <c r="K6" s="39"/>
      <c r="L6" s="39"/>
      <c r="M6" s="39"/>
    </row>
    <row r="7" spans="1:13" x14ac:dyDescent="0.3">
      <c r="A7" s="39" t="s">
        <v>175</v>
      </c>
      <c r="B7" s="39">
        <f>IF(Input!B12,300,0)</f>
        <v>0</v>
      </c>
      <c r="C7" s="39">
        <f>IF(Input!B12,490,0)</f>
        <v>0</v>
      </c>
      <c r="D7" s="39">
        <f>IF(Input!B12,300,0)</f>
        <v>0</v>
      </c>
      <c r="E7" s="39"/>
      <c r="F7" s="39"/>
      <c r="G7" s="39"/>
      <c r="H7" s="39"/>
      <c r="I7" s="39"/>
      <c r="J7" s="39" t="s">
        <v>126</v>
      </c>
      <c r="K7" s="39"/>
      <c r="L7" s="39"/>
      <c r="M7" s="39"/>
    </row>
    <row r="8" spans="1:13" x14ac:dyDescent="0.3">
      <c r="A8" s="46" t="s">
        <v>168</v>
      </c>
      <c r="B8" s="46">
        <f>SUM(B6:B7)</f>
        <v>265</v>
      </c>
      <c r="C8" s="46">
        <f t="shared" ref="C8:D8" si="0">SUM(C6:C7)</f>
        <v>400</v>
      </c>
      <c r="D8" s="46">
        <f t="shared" si="0"/>
        <v>700</v>
      </c>
      <c r="E8" s="39"/>
      <c r="F8" s="39">
        <f>Aantalplaatsen</f>
        <v>5</v>
      </c>
      <c r="G8" s="39">
        <f>HLOOKUP(Soort_plaatsen,$B$1:$D$35,8,FALSE)</f>
        <v>265</v>
      </c>
      <c r="H8" s="39"/>
      <c r="I8" s="40">
        <f>IF((F8*G8)&lt;(5*G8),(5*G8),F8*G8)</f>
        <v>1325</v>
      </c>
      <c r="J8" s="40"/>
      <c r="K8" s="39"/>
      <c r="L8" s="39"/>
      <c r="M8" s="39"/>
    </row>
    <row r="9" spans="1:13" x14ac:dyDescent="0.3">
      <c r="A9" s="46" t="s">
        <v>169</v>
      </c>
      <c r="B9" s="46"/>
      <c r="C9" s="46"/>
      <c r="D9" s="46"/>
      <c r="E9" s="39"/>
      <c r="F9" s="39"/>
      <c r="G9" s="39"/>
      <c r="H9" s="39"/>
      <c r="I9" s="40">
        <v>3000</v>
      </c>
      <c r="J9" s="40"/>
      <c r="K9" s="39"/>
      <c r="L9" s="39"/>
      <c r="M9" s="39"/>
    </row>
    <row r="10" spans="1:13" x14ac:dyDescent="0.3">
      <c r="A10" s="46" t="s">
        <v>170</v>
      </c>
      <c r="B10" s="46"/>
      <c r="C10" s="46"/>
      <c r="D10" s="46"/>
      <c r="E10" s="39"/>
      <c r="F10" s="39"/>
      <c r="G10" s="39"/>
      <c r="H10" s="39"/>
      <c r="I10" s="40">
        <f>SUM(I8:I9)</f>
        <v>4325</v>
      </c>
      <c r="J10" s="40"/>
      <c r="K10" s="39"/>
      <c r="L10" s="39"/>
      <c r="M10" s="39"/>
    </row>
    <row r="11" spans="1:13" x14ac:dyDescent="0.3">
      <c r="A11" s="39"/>
      <c r="B11" s="39"/>
      <c r="C11" s="39"/>
      <c r="D11" s="39"/>
      <c r="E11" s="39"/>
      <c r="F11" s="39"/>
      <c r="G11" s="39"/>
      <c r="H11" s="39"/>
      <c r="I11" s="40"/>
      <c r="J11" s="40"/>
      <c r="K11" s="39"/>
      <c r="L11" s="39"/>
      <c r="M11" s="39"/>
    </row>
    <row r="12" spans="1:13" x14ac:dyDescent="0.3">
      <c r="A12" s="46" t="s">
        <v>28</v>
      </c>
      <c r="B12" s="39"/>
      <c r="C12" s="39"/>
      <c r="D12" s="39"/>
      <c r="E12" s="39"/>
      <c r="F12" s="39"/>
      <c r="G12" s="39"/>
      <c r="H12" s="39"/>
      <c r="I12" s="40"/>
      <c r="J12" s="40"/>
      <c r="K12" s="39"/>
      <c r="L12" s="39"/>
      <c r="M12" s="39"/>
    </row>
    <row r="13" spans="1:13" x14ac:dyDescent="0.3">
      <c r="A13" s="39" t="s">
        <v>12</v>
      </c>
      <c r="B13" s="39">
        <v>300</v>
      </c>
      <c r="C13" s="39"/>
      <c r="D13" s="39"/>
      <c r="E13" s="39"/>
      <c r="F13" s="39"/>
      <c r="G13" s="39"/>
      <c r="H13" s="39"/>
      <c r="I13" s="40"/>
      <c r="J13" s="39" t="s">
        <v>127</v>
      </c>
      <c r="K13" s="39"/>
      <c r="L13" s="39"/>
      <c r="M13" s="39"/>
    </row>
    <row r="14" spans="1:13" x14ac:dyDescent="0.3">
      <c r="A14" s="39" t="s">
        <v>17</v>
      </c>
      <c r="B14" s="39"/>
      <c r="C14" s="39">
        <v>675</v>
      </c>
      <c r="D14" s="39"/>
      <c r="E14" s="39"/>
      <c r="F14" s="39"/>
      <c r="G14" s="39"/>
      <c r="H14" s="39"/>
      <c r="I14" s="40"/>
      <c r="J14" s="39" t="s">
        <v>127</v>
      </c>
      <c r="K14" s="39"/>
      <c r="L14" s="39"/>
      <c r="M14" s="39"/>
    </row>
    <row r="15" spans="1:13" x14ac:dyDescent="0.3">
      <c r="A15" s="39" t="s">
        <v>21</v>
      </c>
      <c r="B15" s="39"/>
      <c r="C15" s="39"/>
      <c r="D15" s="39">
        <v>1050</v>
      </c>
      <c r="E15" s="39"/>
      <c r="F15" s="39"/>
      <c r="G15" s="39"/>
      <c r="H15" s="39"/>
      <c r="I15" s="40"/>
      <c r="J15" s="39" t="s">
        <v>127</v>
      </c>
      <c r="K15" s="39"/>
      <c r="L15" s="39"/>
      <c r="M15" s="39"/>
    </row>
    <row r="16" spans="1:13" x14ac:dyDescent="0.3">
      <c r="A16" s="46" t="s">
        <v>22</v>
      </c>
      <c r="B16" s="46">
        <f>SUM(B13:B15)</f>
        <v>300</v>
      </c>
      <c r="C16" s="46">
        <f t="shared" ref="C16:D16" si="1">SUM(C13:C15)</f>
        <v>675</v>
      </c>
      <c r="D16" s="46">
        <f t="shared" si="1"/>
        <v>1050</v>
      </c>
      <c r="E16" s="39"/>
      <c r="F16" s="39">
        <f>Aantalplaatsen</f>
        <v>5</v>
      </c>
      <c r="G16" s="39">
        <f>HLOOKUP(Soort_plaatsen,$B$1:$D$35,16,FALSE)</f>
        <v>300</v>
      </c>
      <c r="H16" s="39"/>
      <c r="I16" s="40">
        <f>IF((F16*G16)&lt;(5*G16),(5*G16),(F16*G16))</f>
        <v>1500</v>
      </c>
      <c r="J16" s="40"/>
      <c r="K16" s="39"/>
      <c r="L16" s="39"/>
      <c r="M16" s="39"/>
    </row>
    <row r="17" spans="1:13" x14ac:dyDescent="0.3">
      <c r="A17" s="39"/>
      <c r="B17" s="39"/>
      <c r="C17" s="39"/>
      <c r="D17" s="39"/>
      <c r="E17" s="39"/>
      <c r="F17" s="39"/>
      <c r="G17" s="39"/>
      <c r="H17" s="39"/>
      <c r="I17" s="40"/>
      <c r="J17" s="40"/>
      <c r="K17" s="39"/>
      <c r="L17" s="39"/>
      <c r="M17" s="39"/>
    </row>
    <row r="18" spans="1:13" x14ac:dyDescent="0.3">
      <c r="A18" s="46" t="s">
        <v>173</v>
      </c>
      <c r="B18" s="39"/>
      <c r="C18" s="39"/>
      <c r="D18" s="39"/>
      <c r="E18" s="39"/>
      <c r="F18" s="39"/>
      <c r="G18" s="39"/>
      <c r="H18" s="39"/>
      <c r="I18" s="40"/>
      <c r="J18" s="40"/>
      <c r="K18" s="39"/>
      <c r="L18" s="39"/>
      <c r="M18" s="39"/>
    </row>
    <row r="19" spans="1:13" x14ac:dyDescent="0.3">
      <c r="A19" s="39" t="s">
        <v>172</v>
      </c>
      <c r="B19" s="39">
        <v>30</v>
      </c>
      <c r="C19" s="39">
        <v>475</v>
      </c>
      <c r="D19" s="39">
        <v>1100</v>
      </c>
      <c r="E19" s="39"/>
      <c r="F19" s="39">
        <f>Aantalplaatsen</f>
        <v>5</v>
      </c>
      <c r="G19" s="39">
        <f>HLOOKUP(Soort_plaatsen,$B$1:$D$35,19,FALSE)</f>
        <v>30</v>
      </c>
      <c r="H19" s="39"/>
      <c r="I19" s="40">
        <f>IF((F19*G19)&lt;(5*G19),(5*G19),(F19*G19))</f>
        <v>150</v>
      </c>
      <c r="J19" s="39" t="s">
        <v>127</v>
      </c>
      <c r="K19" s="39"/>
      <c r="L19" s="39"/>
      <c r="M19" s="39"/>
    </row>
    <row r="20" spans="1:13" x14ac:dyDescent="0.3">
      <c r="A20" s="39"/>
      <c r="B20" s="39"/>
      <c r="C20" s="39"/>
      <c r="D20" s="39"/>
      <c r="E20" s="39"/>
      <c r="F20" s="39"/>
      <c r="G20" s="39"/>
      <c r="H20" s="39"/>
      <c r="I20" s="40"/>
      <c r="J20" s="40"/>
      <c r="K20" s="39"/>
      <c r="L20" s="39"/>
      <c r="M20" s="39"/>
    </row>
    <row r="21" spans="1:13" x14ac:dyDescent="0.3">
      <c r="A21" s="46" t="s">
        <v>13</v>
      </c>
      <c r="B21" s="39"/>
      <c r="C21" s="39"/>
      <c r="D21" s="39"/>
      <c r="E21" s="39"/>
      <c r="F21" s="39"/>
      <c r="G21" s="39"/>
      <c r="H21" s="39"/>
      <c r="I21" s="40"/>
      <c r="J21" s="40"/>
      <c r="K21" s="39"/>
      <c r="L21" s="39"/>
      <c r="M21" s="39"/>
    </row>
    <row r="22" spans="1:13" x14ac:dyDescent="0.3">
      <c r="A22" s="39" t="s">
        <v>12</v>
      </c>
      <c r="B22" s="39">
        <v>250</v>
      </c>
      <c r="C22" s="39"/>
      <c r="D22" s="39"/>
      <c r="E22" s="39"/>
      <c r="F22" s="39"/>
      <c r="G22" s="39"/>
      <c r="H22" s="39"/>
      <c r="I22" s="40"/>
      <c r="J22" s="39" t="s">
        <v>127</v>
      </c>
      <c r="K22" s="39"/>
      <c r="L22" s="39"/>
      <c r="M22" s="39"/>
    </row>
    <row r="23" spans="1:13" x14ac:dyDescent="0.3">
      <c r="A23" s="39" t="s">
        <v>17</v>
      </c>
      <c r="B23" s="39"/>
      <c r="C23" s="39">
        <v>650</v>
      </c>
      <c r="D23" s="39"/>
      <c r="E23" s="39"/>
      <c r="F23" s="39"/>
      <c r="G23" s="39"/>
      <c r="H23" s="39"/>
      <c r="I23" s="40"/>
      <c r="J23" s="39" t="s">
        <v>127</v>
      </c>
      <c r="K23" s="39"/>
      <c r="L23" s="39"/>
      <c r="M23" s="39"/>
    </row>
    <row r="24" spans="1:13" x14ac:dyDescent="0.3">
      <c r="A24" s="39" t="s">
        <v>21</v>
      </c>
      <c r="B24" s="39"/>
      <c r="C24" s="39"/>
      <c r="D24" s="39">
        <v>1150</v>
      </c>
      <c r="E24" s="39"/>
      <c r="F24" s="39"/>
      <c r="G24" s="39"/>
      <c r="H24" s="39"/>
      <c r="I24" s="40"/>
      <c r="J24" s="39" t="s">
        <v>127</v>
      </c>
      <c r="K24" s="39"/>
      <c r="L24" s="39"/>
      <c r="M24" s="39"/>
    </row>
    <row r="25" spans="1:13" x14ac:dyDescent="0.3">
      <c r="A25" s="46" t="s">
        <v>23</v>
      </c>
      <c r="B25" s="46">
        <f>SUM(B22:B24)</f>
        <v>250</v>
      </c>
      <c r="C25" s="46">
        <f t="shared" ref="C25:D25" si="2">SUM(C22:C24)</f>
        <v>650</v>
      </c>
      <c r="D25" s="46">
        <f t="shared" si="2"/>
        <v>1150</v>
      </c>
      <c r="E25" s="39"/>
      <c r="F25" s="39">
        <f>Aantalplaatsen</f>
        <v>5</v>
      </c>
      <c r="G25" s="39">
        <f>HLOOKUP(Soort_plaatsen,$B$1:$D$35,25,FALSE)</f>
        <v>250</v>
      </c>
      <c r="H25" s="39"/>
      <c r="I25" s="40">
        <f>IF((F25*G25)&lt;(5*G25),(5*G25),(F25*G25))</f>
        <v>1250</v>
      </c>
      <c r="J25" s="40"/>
      <c r="K25" s="39"/>
      <c r="L25" s="39"/>
      <c r="M25" s="39"/>
    </row>
    <row r="26" spans="1:13" x14ac:dyDescent="0.3">
      <c r="A26" s="39"/>
      <c r="B26" s="39"/>
      <c r="C26" s="39"/>
      <c r="D26" s="39"/>
      <c r="E26" s="39"/>
      <c r="F26" s="39"/>
      <c r="G26" s="39"/>
      <c r="H26" s="39"/>
      <c r="I26" s="40"/>
      <c r="J26" s="40"/>
      <c r="K26" s="39"/>
      <c r="L26" s="39"/>
      <c r="M26" s="39"/>
    </row>
    <row r="27" spans="1:13" x14ac:dyDescent="0.3">
      <c r="A27" s="46" t="s">
        <v>146</v>
      </c>
      <c r="B27" s="39"/>
      <c r="C27" s="39"/>
      <c r="D27" s="39"/>
      <c r="E27" s="39"/>
      <c r="F27" s="39"/>
      <c r="G27" s="39"/>
      <c r="H27" s="39"/>
      <c r="I27" s="40"/>
      <c r="J27" s="40"/>
      <c r="K27" s="39"/>
      <c r="L27" s="39"/>
      <c r="M27" s="39"/>
    </row>
    <row r="28" spans="1:13" x14ac:dyDescent="0.3">
      <c r="A28" s="39" t="s">
        <v>14</v>
      </c>
      <c r="B28" s="39">
        <v>85</v>
      </c>
      <c r="C28" s="39">
        <v>200</v>
      </c>
      <c r="D28" s="39">
        <v>300</v>
      </c>
      <c r="E28" s="39"/>
      <c r="F28" s="39"/>
      <c r="G28" s="39"/>
      <c r="H28" s="39"/>
      <c r="I28" s="40"/>
      <c r="J28" s="40"/>
      <c r="K28" s="39"/>
      <c r="L28" s="39"/>
      <c r="M28" s="39"/>
    </row>
    <row r="29" spans="1:13" x14ac:dyDescent="0.3">
      <c r="A29" s="39" t="s">
        <v>148</v>
      </c>
      <c r="B29" s="39">
        <v>60</v>
      </c>
      <c r="C29" s="39">
        <v>70</v>
      </c>
      <c r="D29" s="39">
        <v>90</v>
      </c>
      <c r="E29" s="39"/>
      <c r="F29" s="39"/>
      <c r="G29" s="39"/>
      <c r="H29" s="39"/>
      <c r="I29" s="40"/>
      <c r="J29" s="40"/>
      <c r="K29" s="39"/>
      <c r="L29" s="39"/>
      <c r="M29" s="39"/>
    </row>
    <row r="30" spans="1:13" x14ac:dyDescent="0.3">
      <c r="A30" s="46" t="s">
        <v>147</v>
      </c>
      <c r="B30" s="46">
        <f>SUM(B28:B29)</f>
        <v>145</v>
      </c>
      <c r="C30" s="46">
        <f t="shared" ref="C30:D30" si="3">SUM(C28:C29)</f>
        <v>270</v>
      </c>
      <c r="D30" s="46">
        <f t="shared" si="3"/>
        <v>390</v>
      </c>
      <c r="E30" s="39"/>
      <c r="F30" s="39">
        <f>Aantalplaatsen</f>
        <v>5</v>
      </c>
      <c r="G30" s="39">
        <f>HLOOKUP(Soort_plaatsen,$B$1:$D$35,30,FALSE)</f>
        <v>145</v>
      </c>
      <c r="H30" s="39"/>
      <c r="I30" s="40">
        <f>IF((F30*G30)&lt;(5*G30),(5*G30),(F30*G30))</f>
        <v>725</v>
      </c>
      <c r="J30" s="40" t="s">
        <v>127</v>
      </c>
      <c r="K30" s="39"/>
      <c r="L30" s="39"/>
      <c r="M30" s="39"/>
    </row>
    <row r="31" spans="1:13" x14ac:dyDescent="0.3">
      <c r="A31" s="39"/>
      <c r="B31" s="39"/>
      <c r="C31" s="39"/>
      <c r="D31" s="39"/>
      <c r="E31" s="39"/>
      <c r="F31" s="39"/>
      <c r="G31" s="39"/>
      <c r="H31" s="39"/>
      <c r="I31" s="40"/>
      <c r="J31" s="40"/>
      <c r="K31" s="39"/>
      <c r="L31" s="39"/>
      <c r="M31" s="39"/>
    </row>
    <row r="32" spans="1:13" x14ac:dyDescent="0.3">
      <c r="A32" s="46" t="s">
        <v>15</v>
      </c>
      <c r="B32" s="39"/>
      <c r="C32" s="39"/>
      <c r="D32" s="39"/>
      <c r="E32" s="39"/>
      <c r="F32" s="39"/>
      <c r="G32" s="39"/>
      <c r="H32" s="39"/>
      <c r="I32" s="40"/>
      <c r="J32" s="40"/>
      <c r="K32" s="39"/>
      <c r="L32" s="39"/>
      <c r="M32" s="39"/>
    </row>
    <row r="33" spans="1:15" x14ac:dyDescent="0.3">
      <c r="A33" s="39" t="s">
        <v>16</v>
      </c>
      <c r="B33" s="39">
        <v>120</v>
      </c>
      <c r="C33" s="39"/>
      <c r="D33" s="39"/>
      <c r="E33" s="39"/>
      <c r="F33" s="39"/>
      <c r="G33" s="39"/>
      <c r="H33" s="39"/>
      <c r="I33" s="40"/>
      <c r="J33" s="40" t="s">
        <v>127</v>
      </c>
      <c r="K33" s="39"/>
      <c r="L33" s="39"/>
      <c r="M33" s="39"/>
    </row>
    <row r="34" spans="1:15" x14ac:dyDescent="0.3">
      <c r="A34" s="39" t="s">
        <v>18</v>
      </c>
      <c r="B34" s="39"/>
      <c r="C34" s="39">
        <v>195</v>
      </c>
      <c r="D34" s="39">
        <v>225</v>
      </c>
      <c r="E34" s="39"/>
      <c r="F34" s="39"/>
      <c r="G34" s="39"/>
      <c r="H34" s="39"/>
      <c r="I34" s="40"/>
      <c r="J34" s="40" t="s">
        <v>127</v>
      </c>
      <c r="K34" s="39"/>
      <c r="L34" s="39"/>
      <c r="M34" s="39"/>
    </row>
    <row r="35" spans="1:15" x14ac:dyDescent="0.3">
      <c r="A35" s="46" t="s">
        <v>24</v>
      </c>
      <c r="B35" s="46">
        <f>SUM(B33:B34)</f>
        <v>120</v>
      </c>
      <c r="C35" s="46">
        <f t="shared" ref="C35:D35" si="4">SUM(C33:C34)</f>
        <v>195</v>
      </c>
      <c r="D35" s="46">
        <f t="shared" si="4"/>
        <v>225</v>
      </c>
      <c r="E35" s="39"/>
      <c r="F35" s="39">
        <f>Aantalplaatsen</f>
        <v>5</v>
      </c>
      <c r="G35" s="39">
        <f>HLOOKUP(Soort_plaatsen,$B$1:$D$35,35,FALSE)</f>
        <v>120</v>
      </c>
      <c r="H35" s="39"/>
      <c r="I35" s="40">
        <f>IF((F35*G35)&lt;(10*G35),(10*G3),F35*G35)</f>
        <v>1000</v>
      </c>
      <c r="J35" s="40"/>
      <c r="K35" s="39"/>
      <c r="L35" s="39"/>
      <c r="M35" s="39"/>
    </row>
    <row r="36" spans="1:15" x14ac:dyDescent="0.3">
      <c r="A36" s="39"/>
      <c r="B36" s="39"/>
      <c r="C36" s="39"/>
      <c r="D36" s="39"/>
      <c r="E36" s="39"/>
      <c r="F36" s="39"/>
      <c r="G36" s="39"/>
      <c r="H36" s="39"/>
      <c r="I36" s="39"/>
      <c r="J36" s="39"/>
      <c r="K36" s="39"/>
      <c r="L36" s="39"/>
      <c r="M36" s="39"/>
    </row>
    <row r="37" spans="1:15" x14ac:dyDescent="0.3">
      <c r="A37" s="47" t="s">
        <v>118</v>
      </c>
      <c r="B37" s="39"/>
      <c r="C37" s="39"/>
      <c r="D37" s="39"/>
      <c r="E37" s="39"/>
      <c r="F37" s="39"/>
      <c r="G37" s="39"/>
      <c r="H37" s="39"/>
      <c r="I37" s="40">
        <f>SUM(I10:I35)</f>
        <v>8950</v>
      </c>
      <c r="J37" s="40"/>
      <c r="K37" s="40">
        <f>SUM(K3:K35)</f>
        <v>500</v>
      </c>
      <c r="L37" s="39"/>
      <c r="M37" s="39"/>
    </row>
    <row r="38" spans="1:15" x14ac:dyDescent="0.3">
      <c r="A38" s="48"/>
      <c r="B38" s="48"/>
      <c r="C38" s="48"/>
      <c r="D38" s="48"/>
      <c r="E38" s="48"/>
      <c r="F38" s="48"/>
      <c r="G38" s="48"/>
      <c r="H38" s="48"/>
      <c r="I38" s="48"/>
      <c r="J38" s="48"/>
      <c r="K38" s="63"/>
      <c r="L38" s="64" t="s">
        <v>31</v>
      </c>
      <c r="M38" s="65"/>
    </row>
    <row r="39" spans="1:15" ht="21" x14ac:dyDescent="0.4">
      <c r="A39" s="49" t="s">
        <v>119</v>
      </c>
      <c r="B39" s="48">
        <f>B1</f>
        <v>1</v>
      </c>
      <c r="C39" s="48">
        <f t="shared" ref="C39:D39" si="5">C1</f>
        <v>2</v>
      </c>
      <c r="D39" s="48">
        <f t="shared" si="5"/>
        <v>3</v>
      </c>
      <c r="E39" s="48"/>
      <c r="F39" s="81" t="s">
        <v>25</v>
      </c>
      <c r="G39" s="81" t="s">
        <v>34</v>
      </c>
      <c r="H39" s="48" t="s">
        <v>35</v>
      </c>
      <c r="I39" s="48" t="str">
        <f>I1</f>
        <v>Investering</v>
      </c>
      <c r="J39" s="48"/>
      <c r="K39" s="66" t="str">
        <f>K1</f>
        <v>Grondbeslag Bruto</v>
      </c>
      <c r="L39" s="67" t="s">
        <v>34</v>
      </c>
      <c r="M39" s="68" t="s">
        <v>35</v>
      </c>
    </row>
    <row r="40" spans="1:15" x14ac:dyDescent="0.3">
      <c r="A40" s="50" t="s">
        <v>149</v>
      </c>
      <c r="B40" s="48"/>
      <c r="C40" s="48"/>
      <c r="D40" s="48"/>
      <c r="E40" s="48"/>
      <c r="F40" s="48">
        <f>CEILING(Aantalplaatsen/60,1)</f>
        <v>1</v>
      </c>
      <c r="G40" s="53"/>
      <c r="H40" s="53">
        <v>4000</v>
      </c>
      <c r="I40" s="51">
        <f>IF(Input!B6,(F40*H40),0)</f>
        <v>0</v>
      </c>
      <c r="J40" s="51" t="s">
        <v>126</v>
      </c>
      <c r="K40" s="66">
        <f>F40*M40</f>
        <v>75</v>
      </c>
      <c r="L40" s="67"/>
      <c r="M40" s="68">
        <v>75</v>
      </c>
      <c r="O40" t="s">
        <v>187</v>
      </c>
    </row>
    <row r="41" spans="1:15" x14ac:dyDescent="0.3">
      <c r="A41" s="50" t="s">
        <v>171</v>
      </c>
      <c r="B41" s="48"/>
      <c r="C41" s="48"/>
      <c r="D41" s="48"/>
      <c r="E41" s="48"/>
      <c r="F41" s="48">
        <v>1</v>
      </c>
      <c r="G41" s="53">
        <f>3750+1000</f>
        <v>4750</v>
      </c>
      <c r="H41" s="53"/>
      <c r="I41" s="51">
        <f>IF(Input!B7,G41,0)</f>
        <v>0</v>
      </c>
      <c r="J41" s="51" t="s">
        <v>126</v>
      </c>
      <c r="K41" s="66">
        <f>F41*L41</f>
        <v>6</v>
      </c>
      <c r="L41" s="67">
        <v>6</v>
      </c>
      <c r="M41" s="68"/>
      <c r="O41" t="s">
        <v>124</v>
      </c>
    </row>
    <row r="42" spans="1:15" x14ac:dyDescent="0.3">
      <c r="A42" s="50" t="s">
        <v>7</v>
      </c>
      <c r="B42" s="53">
        <v>550</v>
      </c>
      <c r="C42" s="53">
        <v>750</v>
      </c>
      <c r="D42" s="53">
        <v>850</v>
      </c>
      <c r="E42" s="48"/>
      <c r="F42" s="48">
        <f>CEILING(IF(Aantalplaatsen&gt;20,Aantalplaatsen-20,0),1)</f>
        <v>0</v>
      </c>
      <c r="G42" s="53">
        <v>35000</v>
      </c>
      <c r="H42" s="53">
        <f>HLOOKUP(Soort_plaatsen,B39:D42,4,FALSE)</f>
        <v>550</v>
      </c>
      <c r="I42" s="51">
        <f>IF(Input!B8,G42+(F42*H42),0)</f>
        <v>0</v>
      </c>
      <c r="J42" s="51" t="s">
        <v>165</v>
      </c>
      <c r="K42" s="66">
        <f>IF(Input!B8,L42+(F42)*M42,0)</f>
        <v>0</v>
      </c>
      <c r="L42" s="67">
        <v>60</v>
      </c>
      <c r="M42" s="68">
        <v>2</v>
      </c>
      <c r="O42" t="s">
        <v>246</v>
      </c>
    </row>
    <row r="43" spans="1:15" x14ac:dyDescent="0.3">
      <c r="A43" s="50" t="s">
        <v>136</v>
      </c>
      <c r="B43" s="48"/>
      <c r="C43" s="48"/>
      <c r="D43" s="48"/>
      <c r="E43" s="48"/>
      <c r="F43" s="48">
        <f>CEILING(IF(Aantalplaatsen&gt;20,Aantalplaatsen-20,0),1)</f>
        <v>0</v>
      </c>
      <c r="G43" s="53">
        <v>5000</v>
      </c>
      <c r="H43" s="53">
        <v>250</v>
      </c>
      <c r="I43" s="51">
        <f>IF(Input!B9,G43+(F43*H43),0)</f>
        <v>0</v>
      </c>
      <c r="J43" s="51" t="s">
        <v>127</v>
      </c>
      <c r="K43" s="66">
        <f>IF(Input!B9,L43+(F43)*M43,0)</f>
        <v>0</v>
      </c>
      <c r="L43" s="67">
        <v>30</v>
      </c>
      <c r="M43" s="68">
        <v>1</v>
      </c>
      <c r="O43" t="s">
        <v>135</v>
      </c>
    </row>
    <row r="44" spans="1:15" x14ac:dyDescent="0.3">
      <c r="A44" s="50" t="s">
        <v>33</v>
      </c>
      <c r="B44" s="48"/>
      <c r="C44" s="48"/>
      <c r="D44" s="48"/>
      <c r="E44" s="48"/>
      <c r="F44" s="48">
        <v>1</v>
      </c>
      <c r="G44" s="53">
        <f>11000+2500</f>
        <v>13500</v>
      </c>
      <c r="H44" s="53"/>
      <c r="I44" s="51">
        <f>IF(Input!B10,F44*G44,0)</f>
        <v>0</v>
      </c>
      <c r="J44" s="51" t="s">
        <v>126</v>
      </c>
      <c r="K44" s="66">
        <f>IF(Input!B10,F44*L44,0)</f>
        <v>0</v>
      </c>
      <c r="L44" s="67">
        <v>150</v>
      </c>
      <c r="M44" s="68"/>
    </row>
    <row r="45" spans="1:15" x14ac:dyDescent="0.3">
      <c r="A45" s="50" t="s">
        <v>163</v>
      </c>
      <c r="B45" s="48"/>
      <c r="C45" s="48"/>
      <c r="D45" s="48"/>
      <c r="E45" s="48"/>
      <c r="F45" s="48">
        <f>CEILING(IF(Aantalplaatsen&gt;20,Aantalplaatsen-20,0),1)</f>
        <v>0</v>
      </c>
      <c r="G45" s="53">
        <v>3000</v>
      </c>
      <c r="H45" s="53">
        <v>250</v>
      </c>
      <c r="I45" s="51">
        <f>IF(Input!B11,G45+(F45*H45),0)</f>
        <v>0</v>
      </c>
      <c r="J45" s="51" t="s">
        <v>126</v>
      </c>
      <c r="K45" s="66">
        <v>0</v>
      </c>
      <c r="L45" s="67">
        <v>0</v>
      </c>
      <c r="M45" s="68"/>
      <c r="O45" s="149" t="s">
        <v>186</v>
      </c>
    </row>
    <row r="46" spans="1:15" x14ac:dyDescent="0.3">
      <c r="A46" s="50" t="s">
        <v>153</v>
      </c>
      <c r="B46" s="48"/>
      <c r="C46" s="48"/>
      <c r="D46" s="48"/>
      <c r="E46" s="48"/>
      <c r="F46" s="48">
        <v>1</v>
      </c>
      <c r="G46" s="53">
        <f>17500+3000</f>
        <v>20500</v>
      </c>
      <c r="H46" s="53"/>
      <c r="I46" s="51">
        <f>IF(Input!B14=2,F46*G46,0)</f>
        <v>0</v>
      </c>
      <c r="J46" s="51" t="s">
        <v>126</v>
      </c>
      <c r="K46" s="66">
        <f>IF(Input!B14=2,F46*L46,0)</f>
        <v>0</v>
      </c>
      <c r="L46" s="67">
        <v>4</v>
      </c>
      <c r="M46" s="68"/>
    </row>
    <row r="47" spans="1:15" x14ac:dyDescent="0.3">
      <c r="A47" s="50" t="s">
        <v>32</v>
      </c>
      <c r="B47" s="48"/>
      <c r="C47" s="48"/>
      <c r="D47" s="48"/>
      <c r="E47" s="48"/>
      <c r="F47" s="48">
        <v>1</v>
      </c>
      <c r="G47" s="53">
        <f>25000+4000</f>
        <v>29000</v>
      </c>
      <c r="H47" s="53"/>
      <c r="I47" s="51">
        <f>IF(Input!B14=3,F47*G47,0)</f>
        <v>0</v>
      </c>
      <c r="J47" s="51" t="s">
        <v>126</v>
      </c>
      <c r="K47" s="66">
        <f>IF(Input!B14=3,F47*L47,0)</f>
        <v>0</v>
      </c>
      <c r="L47" s="67">
        <v>15</v>
      </c>
      <c r="M47" s="68"/>
    </row>
    <row r="48" spans="1:15" x14ac:dyDescent="0.3">
      <c r="A48" s="50"/>
      <c r="B48" s="48"/>
      <c r="C48" s="48"/>
      <c r="D48" s="48"/>
      <c r="E48" s="48"/>
      <c r="F48" s="48"/>
      <c r="G48" s="48"/>
      <c r="H48" s="48"/>
      <c r="I48" s="48"/>
      <c r="J48" s="48"/>
      <c r="K48" s="66"/>
      <c r="L48" s="67"/>
      <c r="M48" s="68"/>
    </row>
    <row r="49" spans="1:13" x14ac:dyDescent="0.3">
      <c r="A49" s="52" t="s">
        <v>121</v>
      </c>
      <c r="B49" s="48"/>
      <c r="C49" s="48"/>
      <c r="D49" s="48"/>
      <c r="E49" s="48"/>
      <c r="F49" s="48"/>
      <c r="G49" s="48"/>
      <c r="H49" s="48"/>
      <c r="I49" s="53">
        <f>SUM(I40:I48)</f>
        <v>0</v>
      </c>
      <c r="J49" s="53"/>
      <c r="K49" s="69">
        <f>SUM(K40:K48)</f>
        <v>81</v>
      </c>
      <c r="L49" s="70"/>
      <c r="M49" s="71"/>
    </row>
    <row r="50" spans="1:13" x14ac:dyDescent="0.3">
      <c r="A50" s="37"/>
      <c r="B50" s="37"/>
      <c r="C50" s="37"/>
      <c r="D50" s="37"/>
      <c r="E50" s="37"/>
      <c r="F50" s="37"/>
      <c r="G50" s="37"/>
      <c r="H50" s="37"/>
      <c r="I50" s="37"/>
      <c r="J50" s="37"/>
      <c r="K50" s="72"/>
      <c r="L50" s="73"/>
      <c r="M50" s="74"/>
    </row>
    <row r="51" spans="1:13" ht="21" x14ac:dyDescent="0.4">
      <c r="A51" s="42" t="s">
        <v>41</v>
      </c>
      <c r="B51" s="37"/>
      <c r="C51" s="37"/>
      <c r="D51" s="37"/>
      <c r="E51" s="37"/>
      <c r="F51" s="37"/>
      <c r="G51" s="37"/>
      <c r="H51" s="37"/>
      <c r="I51" s="38">
        <f>I37+I49</f>
        <v>8950</v>
      </c>
      <c r="J51" s="38"/>
      <c r="K51" s="75">
        <f>K37+K49</f>
        <v>581</v>
      </c>
      <c r="L51" s="76">
        <f>L2</f>
        <v>120</v>
      </c>
      <c r="M51" s="77">
        <f>L51/K51</f>
        <v>0.20654044750430292</v>
      </c>
    </row>
    <row r="52" spans="1:13" x14ac:dyDescent="0.3">
      <c r="A52" s="37"/>
      <c r="B52" s="37"/>
      <c r="C52" s="37"/>
      <c r="D52" s="37"/>
      <c r="E52" s="37"/>
      <c r="F52" s="37"/>
      <c r="G52" s="37"/>
      <c r="H52" s="37"/>
      <c r="I52" s="37"/>
      <c r="J52" s="37"/>
      <c r="K52" s="78"/>
      <c r="L52" s="79"/>
      <c r="M52" s="80"/>
    </row>
    <row r="53" spans="1:13" ht="21" x14ac:dyDescent="0.4">
      <c r="A53" s="43" t="s">
        <v>38</v>
      </c>
      <c r="B53" s="35" t="s">
        <v>44</v>
      </c>
      <c r="C53" s="35"/>
      <c r="D53" s="35"/>
      <c r="E53" s="35"/>
      <c r="F53" s="35"/>
      <c r="G53" s="35"/>
      <c r="H53" s="35"/>
      <c r="I53" s="35" t="s">
        <v>29</v>
      </c>
      <c r="J53" s="35"/>
      <c r="K53" s="35" t="s">
        <v>45</v>
      </c>
      <c r="L53" s="35"/>
      <c r="M53" s="35"/>
    </row>
    <row r="54" spans="1:13" x14ac:dyDescent="0.3">
      <c r="A54" s="35" t="str">
        <f>A8</f>
        <v>Totaal variabele kosten elektra</v>
      </c>
      <c r="B54" s="35">
        <v>20</v>
      </c>
      <c r="C54" s="35"/>
      <c r="D54" s="35"/>
      <c r="E54" s="35"/>
      <c r="F54" s="35"/>
      <c r="G54" s="35"/>
      <c r="H54" s="35"/>
      <c r="I54" s="41">
        <f>I10</f>
        <v>4325</v>
      </c>
      <c r="J54" s="36"/>
      <c r="K54" s="41">
        <f>I54/B54</f>
        <v>216.25</v>
      </c>
      <c r="L54" s="35"/>
      <c r="M54" s="35"/>
    </row>
    <row r="55" spans="1:13" x14ac:dyDescent="0.3">
      <c r="A55" s="35" t="str">
        <f>A16</f>
        <v>Totaal plaatsverharding</v>
      </c>
      <c r="B55" s="35">
        <v>20</v>
      </c>
      <c r="C55" s="35"/>
      <c r="D55" s="35"/>
      <c r="E55" s="35"/>
      <c r="F55" s="35"/>
      <c r="G55" s="35"/>
      <c r="H55" s="35"/>
      <c r="I55" s="41">
        <f t="shared" ref="I55" si="6">I16</f>
        <v>1500</v>
      </c>
      <c r="J55" s="36"/>
      <c r="K55" s="41">
        <f t="shared" ref="K55:K59" si="7">I55/B55</f>
        <v>75</v>
      </c>
      <c r="L55" s="35"/>
      <c r="M55" s="35"/>
    </row>
    <row r="56" spans="1:13" x14ac:dyDescent="0.3">
      <c r="A56" s="35" t="str">
        <f>A18</f>
        <v>Vormgeving camperplaats</v>
      </c>
      <c r="B56" s="35">
        <v>15</v>
      </c>
      <c r="C56" s="35"/>
      <c r="D56" s="35"/>
      <c r="E56" s="35"/>
      <c r="F56" s="35"/>
      <c r="G56" s="35"/>
      <c r="H56" s="35"/>
      <c r="I56" s="41">
        <f>I19</f>
        <v>150</v>
      </c>
      <c r="J56" s="36"/>
      <c r="K56" s="41">
        <f t="shared" si="7"/>
        <v>10</v>
      </c>
      <c r="L56" s="35"/>
      <c r="M56" s="35"/>
    </row>
    <row r="57" spans="1:13" x14ac:dyDescent="0.3">
      <c r="A57" s="35" t="str">
        <f>A25</f>
        <v>Totaal openbare wegen en paden</v>
      </c>
      <c r="B57" s="35">
        <v>20</v>
      </c>
      <c r="C57" s="35"/>
      <c r="D57" s="35"/>
      <c r="E57" s="35"/>
      <c r="F57" s="35"/>
      <c r="G57" s="35"/>
      <c r="H57" s="35"/>
      <c r="I57" s="41">
        <f>I25</f>
        <v>1250</v>
      </c>
      <c r="J57" s="35"/>
      <c r="K57" s="41">
        <f t="shared" si="7"/>
        <v>62.5</v>
      </c>
      <c r="L57" s="35"/>
      <c r="M57" s="35"/>
    </row>
    <row r="58" spans="1:13" x14ac:dyDescent="0.3">
      <c r="A58" s="35" t="str">
        <f>A27</f>
        <v>Groenvoorziening &amp; randbeplanting</v>
      </c>
      <c r="B58" s="35">
        <v>15</v>
      </c>
      <c r="C58" s="35"/>
      <c r="D58" s="35"/>
      <c r="E58" s="35"/>
      <c r="F58" s="35"/>
      <c r="G58" s="35"/>
      <c r="H58" s="35"/>
      <c r="I58" s="41">
        <f>I30</f>
        <v>725</v>
      </c>
      <c r="J58" s="36"/>
      <c r="K58" s="41">
        <f t="shared" si="7"/>
        <v>48.333333333333336</v>
      </c>
      <c r="L58" s="35"/>
      <c r="M58" s="35"/>
    </row>
    <row r="59" spans="1:13" x14ac:dyDescent="0.3">
      <c r="A59" s="35" t="str">
        <f>A35</f>
        <v>Totaal verlichting</v>
      </c>
      <c r="B59" s="35">
        <v>15</v>
      </c>
      <c r="C59" s="35"/>
      <c r="D59" s="35"/>
      <c r="E59" s="35"/>
      <c r="F59" s="35"/>
      <c r="G59" s="35"/>
      <c r="H59" s="35"/>
      <c r="I59" s="41">
        <f>I35</f>
        <v>1000</v>
      </c>
      <c r="J59" s="36"/>
      <c r="K59" s="41">
        <f t="shared" si="7"/>
        <v>66.666666666666671</v>
      </c>
      <c r="L59" s="35"/>
      <c r="M59" s="35"/>
    </row>
    <row r="60" spans="1:13" x14ac:dyDescent="0.3">
      <c r="A60" s="35" t="str">
        <f t="shared" ref="A60:A65" si="8">A40</f>
        <v>Servicestation</v>
      </c>
      <c r="B60" s="35">
        <v>15</v>
      </c>
      <c r="C60" s="35"/>
      <c r="D60" s="35"/>
      <c r="E60" s="35"/>
      <c r="F60" s="35"/>
      <c r="G60" s="35"/>
      <c r="H60" s="35"/>
      <c r="I60" s="41">
        <f t="shared" ref="I60:I65" si="9">I40</f>
        <v>0</v>
      </c>
      <c r="J60" s="41"/>
      <c r="K60" s="41">
        <f t="shared" ref="K60:K68" si="10">I60/B60</f>
        <v>0</v>
      </c>
      <c r="L60" s="35"/>
      <c r="M60" s="35"/>
    </row>
    <row r="61" spans="1:13" x14ac:dyDescent="0.3">
      <c r="A61" s="35" t="str">
        <f t="shared" si="8"/>
        <v>Sanistation + afvalbakken</v>
      </c>
      <c r="B61" s="35">
        <v>15</v>
      </c>
      <c r="C61" s="35"/>
      <c r="D61" s="35"/>
      <c r="E61" s="35"/>
      <c r="F61" s="35"/>
      <c r="G61" s="35"/>
      <c r="H61" s="35"/>
      <c r="I61" s="41">
        <f t="shared" si="9"/>
        <v>0</v>
      </c>
      <c r="J61" s="41"/>
      <c r="K61" s="41">
        <f t="shared" si="10"/>
        <v>0</v>
      </c>
      <c r="L61" s="35"/>
      <c r="M61" s="35"/>
    </row>
    <row r="62" spans="1:13" x14ac:dyDescent="0.3">
      <c r="A62" s="35" t="str">
        <f t="shared" si="8"/>
        <v>Sanitaire voorzieningen</v>
      </c>
      <c r="B62" s="35">
        <v>12</v>
      </c>
      <c r="C62" s="35"/>
      <c r="D62" s="35"/>
      <c r="E62" s="35"/>
      <c r="F62" s="35"/>
      <c r="G62" s="35"/>
      <c r="H62" s="35"/>
      <c r="I62" s="41">
        <f t="shared" si="9"/>
        <v>0</v>
      </c>
      <c r="J62" s="41"/>
      <c r="K62" s="41">
        <f t="shared" si="10"/>
        <v>0</v>
      </c>
      <c r="L62" s="35"/>
      <c r="M62" s="35"/>
    </row>
    <row r="63" spans="1:13" x14ac:dyDescent="0.3">
      <c r="A63" s="35" t="str">
        <f t="shared" si="8"/>
        <v>Speelvoorzieningen</v>
      </c>
      <c r="B63" s="35">
        <v>15</v>
      </c>
      <c r="C63" s="35"/>
      <c r="D63" s="35"/>
      <c r="E63" s="35"/>
      <c r="F63" s="35"/>
      <c r="G63" s="35"/>
      <c r="H63" s="35"/>
      <c r="I63" s="41">
        <f t="shared" si="9"/>
        <v>0</v>
      </c>
      <c r="J63" s="41"/>
      <c r="K63" s="41">
        <f t="shared" si="10"/>
        <v>0</v>
      </c>
      <c r="L63" s="35"/>
      <c r="M63" s="35"/>
    </row>
    <row r="64" spans="1:13" x14ac:dyDescent="0.3">
      <c r="A64" s="35" t="str">
        <f t="shared" si="8"/>
        <v>Slagboom incl. straatwerk</v>
      </c>
      <c r="B64" s="35">
        <v>15</v>
      </c>
      <c r="C64" s="35"/>
      <c r="D64" s="35"/>
      <c r="E64" s="35"/>
      <c r="F64" s="35"/>
      <c r="G64" s="35"/>
      <c r="H64" s="35"/>
      <c r="I64" s="41">
        <f t="shared" si="9"/>
        <v>0</v>
      </c>
      <c r="J64" s="41"/>
      <c r="K64" s="41">
        <f t="shared" si="10"/>
        <v>0</v>
      </c>
      <c r="L64" s="35"/>
      <c r="M64" s="35"/>
    </row>
    <row r="65" spans="1:13" x14ac:dyDescent="0.3">
      <c r="A65" s="35" t="str">
        <f t="shared" si="8"/>
        <v>Wifi</v>
      </c>
      <c r="B65" s="35">
        <v>7</v>
      </c>
      <c r="C65" s="35"/>
      <c r="D65" s="35"/>
      <c r="E65" s="35"/>
      <c r="F65" s="35"/>
      <c r="G65" s="35"/>
      <c r="H65" s="35"/>
      <c r="I65" s="41">
        <f t="shared" si="9"/>
        <v>0</v>
      </c>
      <c r="J65" s="41"/>
      <c r="K65" s="41">
        <f t="shared" ref="K65" si="11">I65/B65</f>
        <v>0</v>
      </c>
      <c r="L65" s="35"/>
      <c r="M65" s="35"/>
    </row>
    <row r="66" spans="1:13" x14ac:dyDescent="0.3">
      <c r="A66" s="35" t="s">
        <v>153</v>
      </c>
      <c r="B66" s="35">
        <v>7</v>
      </c>
      <c r="C66" s="35"/>
      <c r="D66" s="35"/>
      <c r="E66" s="35"/>
      <c r="F66" s="35"/>
      <c r="G66" s="35"/>
      <c r="H66" s="35"/>
      <c r="I66" s="41">
        <f t="shared" ref="I66" si="12">I46</f>
        <v>0</v>
      </c>
      <c r="J66" s="41"/>
      <c r="K66" s="41">
        <f t="shared" si="10"/>
        <v>0</v>
      </c>
      <c r="L66" s="35"/>
      <c r="M66" s="35"/>
    </row>
    <row r="67" spans="1:13" x14ac:dyDescent="0.3">
      <c r="A67" s="35" t="str">
        <f t="shared" ref="A67" si="13">A47</f>
        <v>Boekingsautomaat met huisje</v>
      </c>
      <c r="B67" s="35">
        <v>7</v>
      </c>
      <c r="C67" s="35"/>
      <c r="D67" s="35"/>
      <c r="E67" s="35"/>
      <c r="F67" s="35"/>
      <c r="G67" s="35"/>
      <c r="H67" s="35"/>
      <c r="I67" s="41">
        <f t="shared" ref="I67" si="14">I47</f>
        <v>0</v>
      </c>
      <c r="J67" s="41"/>
      <c r="K67" s="41">
        <f t="shared" si="10"/>
        <v>0</v>
      </c>
      <c r="L67" s="35"/>
      <c r="M67" s="35"/>
    </row>
    <row r="68" spans="1:13" x14ac:dyDescent="0.3">
      <c r="A68" s="35" t="s">
        <v>10</v>
      </c>
      <c r="B68" s="35">
        <v>10</v>
      </c>
      <c r="C68" s="35"/>
      <c r="D68" s="35"/>
      <c r="E68" s="35"/>
      <c r="F68" s="35"/>
      <c r="G68" s="35"/>
      <c r="H68" s="35"/>
      <c r="I68" s="41">
        <f>Businesstool!K21</f>
        <v>0</v>
      </c>
      <c r="J68" s="41"/>
      <c r="K68" s="41">
        <f t="shared" si="10"/>
        <v>0</v>
      </c>
      <c r="L68" s="35"/>
      <c r="M68" s="35"/>
    </row>
    <row r="69" spans="1:13" x14ac:dyDescent="0.3">
      <c r="A69" s="35"/>
      <c r="B69" s="35"/>
      <c r="C69" s="35"/>
      <c r="D69" s="35"/>
      <c r="E69" s="35"/>
      <c r="F69" s="35"/>
      <c r="G69" s="35"/>
      <c r="H69" s="35"/>
      <c r="I69" s="41"/>
      <c r="J69" s="41"/>
      <c r="K69" s="41"/>
      <c r="L69" s="35"/>
      <c r="M69" s="35"/>
    </row>
    <row r="70" spans="1:13" x14ac:dyDescent="0.3">
      <c r="A70" s="35" t="s">
        <v>30</v>
      </c>
      <c r="B70" s="35"/>
      <c r="C70" s="35"/>
      <c r="D70" s="35"/>
      <c r="E70" s="35"/>
      <c r="F70" s="35"/>
      <c r="G70" s="35"/>
      <c r="H70" s="35"/>
      <c r="I70" s="41">
        <f>SUM(I54:I69)</f>
        <v>8950</v>
      </c>
      <c r="J70" s="36"/>
      <c r="K70" s="41">
        <f>SUM(K54:K68)</f>
        <v>478.75</v>
      </c>
      <c r="L70" s="35"/>
      <c r="M70" s="35"/>
    </row>
    <row r="71" spans="1:13" x14ac:dyDescent="0.3">
      <c r="A71" s="35" t="s">
        <v>114</v>
      </c>
      <c r="B71" s="35"/>
      <c r="C71" s="35"/>
      <c r="D71" s="35"/>
      <c r="E71" s="35"/>
      <c r="F71" s="35"/>
      <c r="G71" s="35"/>
      <c r="H71" s="35"/>
      <c r="I71" s="44">
        <f>I70/K70</f>
        <v>18.694516971279374</v>
      </c>
      <c r="J71" s="35"/>
      <c r="K71" s="35"/>
      <c r="L71" s="35"/>
      <c r="M71" s="35"/>
    </row>
    <row r="72" spans="1:13" x14ac:dyDescent="0.3">
      <c r="A72" s="35" t="s">
        <v>112</v>
      </c>
      <c r="B72" s="35"/>
      <c r="C72" s="35"/>
      <c r="D72" s="35"/>
      <c r="E72" s="35"/>
      <c r="F72" s="35"/>
      <c r="G72" s="35"/>
      <c r="H72" s="35"/>
      <c r="I72" s="41">
        <f>Businesstool!K24</f>
        <v>0</v>
      </c>
      <c r="J72" s="35"/>
      <c r="K72" s="41">
        <f>I72/I71</f>
        <v>0</v>
      </c>
      <c r="L72" s="35"/>
      <c r="M72" s="35"/>
    </row>
    <row r="73" spans="1:13" x14ac:dyDescent="0.3">
      <c r="A73" s="35"/>
      <c r="B73" s="35"/>
      <c r="C73" s="35"/>
      <c r="D73" s="35"/>
      <c r="E73" s="35"/>
      <c r="F73" s="35"/>
      <c r="G73" s="35"/>
      <c r="H73" s="35"/>
      <c r="I73" s="35"/>
      <c r="J73" s="35"/>
      <c r="K73" s="35"/>
      <c r="L73" s="35"/>
      <c r="M73" s="35"/>
    </row>
    <row r="74" spans="1:13" x14ac:dyDescent="0.3">
      <c r="A74" s="35" t="s">
        <v>115</v>
      </c>
      <c r="B74" s="35"/>
      <c r="C74" s="35"/>
      <c r="D74" s="35"/>
      <c r="E74" s="35"/>
      <c r="F74" s="35"/>
      <c r="G74" s="35"/>
      <c r="H74" s="35"/>
      <c r="I74" s="35"/>
      <c r="J74" s="35"/>
      <c r="K74" s="41">
        <f>K70-K72</f>
        <v>478.75</v>
      </c>
      <c r="L74" s="35"/>
      <c r="M74" s="35"/>
    </row>
  </sheetData>
  <pageMargins left="0.7" right="0.7" top="0.75" bottom="0.75" header="0.3" footer="0.3"/>
  <pageSetup paperSize="9" scale="4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13D723E5A2A9478EA2588729246141" ma:contentTypeVersion="13" ma:contentTypeDescription="Een nieuw document maken." ma:contentTypeScope="" ma:versionID="c51233429167014f95dc689ce19b8688">
  <xsd:schema xmlns:xsd="http://www.w3.org/2001/XMLSchema" xmlns:xs="http://www.w3.org/2001/XMLSchema" xmlns:p="http://schemas.microsoft.com/office/2006/metadata/properties" xmlns:ns3="ae35a6a7-2972-40ec-8841-5bfb28879abe" xmlns:ns4="6868fc04-9b9b-4c8e-8f5a-9d06a9ec3842" targetNamespace="http://schemas.microsoft.com/office/2006/metadata/properties" ma:root="true" ma:fieldsID="08c6d02f1841aeee1b2236105ae86322" ns3:_="" ns4:_="">
    <xsd:import namespace="ae35a6a7-2972-40ec-8841-5bfb28879abe"/>
    <xsd:import namespace="6868fc04-9b9b-4c8e-8f5a-9d06a9ec3842"/>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35a6a7-2972-40ec-8841-5bfb28879abe"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Hint-hash delen" ma:internalName="SharingHintHash" ma:readOnly="true">
      <xsd:simpleType>
        <xsd:restriction base="dms:Text"/>
      </xsd:simpleType>
    </xsd:element>
    <xsd:element name="SharedWithDetails" ma:index="10" nillable="true" ma:displayName="Gedeeld met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868fc04-9b9b-4c8e-8f5a-9d06a9ec3842"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29C074-0BC0-4F14-8FB4-0E9AA51FF5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35a6a7-2972-40ec-8841-5bfb28879abe"/>
    <ds:schemaRef ds:uri="6868fc04-9b9b-4c8e-8f5a-9d06a9ec38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2EDC2D-2806-4029-9175-A429A76580A1}">
  <ds:schemaRefs>
    <ds:schemaRef ds:uri="http://schemas.microsoft.com/sharepoint/v3/contenttype/forms"/>
  </ds:schemaRefs>
</ds:datastoreItem>
</file>

<file path=customXml/itemProps3.xml><?xml version="1.0" encoding="utf-8"?>
<ds:datastoreItem xmlns:ds="http://schemas.openxmlformats.org/officeDocument/2006/customXml" ds:itemID="{B46D7A3D-DEE6-4249-8D0C-C5819EB2E3E5}">
  <ds:schemaRef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ae35a6a7-2972-40ec-8841-5bfb28879abe"/>
    <ds:schemaRef ds:uri="http://schemas.microsoft.com/office/infopath/2007/PartnerControls"/>
    <ds:schemaRef ds:uri="6868fc04-9b9b-4c8e-8f5a-9d06a9ec384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5</vt:i4>
      </vt:variant>
    </vt:vector>
  </HeadingPairs>
  <TitlesOfParts>
    <vt:vector size="10" baseType="lpstr">
      <vt:lpstr>Intro</vt:lpstr>
      <vt:lpstr>Businesstool</vt:lpstr>
      <vt:lpstr>Toelichting</vt:lpstr>
      <vt:lpstr>Input</vt:lpstr>
      <vt:lpstr>Investeringen</vt:lpstr>
      <vt:lpstr>Aantal_overnachtingen</vt:lpstr>
      <vt:lpstr>Aantalplaatsen</vt:lpstr>
      <vt:lpstr>Toelichting!OLE_LINK1</vt:lpstr>
      <vt:lpstr>Toelichting!OLE_LINK3</vt:lpstr>
      <vt:lpstr>Soort_plaatsen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dc:creator>
  <cp:lastModifiedBy>Paternoster, Bruno</cp:lastModifiedBy>
  <cp:lastPrinted>2020-05-19T08:26:15Z</cp:lastPrinted>
  <dcterms:created xsi:type="dcterms:W3CDTF">2016-06-14T08:10:09Z</dcterms:created>
  <dcterms:modified xsi:type="dcterms:W3CDTF">2020-06-12T12:30:34Z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0x0101002713D723E5A2A9478EA2588729246141</vt:lpwstr>
  </property>
</Properties>
</file>